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chartsheets/sheet1.xml" ContentType="application/vnd.openxmlformats-officedocument.spreadsheetml.chartsheet+xml"/>
  <Override PartName="/xl/drawings/drawing5.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5" yWindow="0" windowWidth="15060" windowHeight="8955" tabRatio="756" activeTab="0"/>
  </bookViews>
  <sheets>
    <sheet name="Disclaimer" sheetId="1" r:id="rId1"/>
    <sheet name="Spreading Cost ($ per hr)" sheetId="2" r:id="rId2"/>
    <sheet name="Additional Fields" sheetId="3" r:id="rId3"/>
    <sheet name="Manure Value" sheetId="4" r:id="rId4"/>
    <sheet name="Changing Fertilizer Cost" sheetId="5" r:id="rId5"/>
    <sheet name="Changing Spreading Cost" sheetId="6" r:id="rId6"/>
    <sheet name="Typical Manure Analysis" sheetId="7" r:id="rId7"/>
    <sheet name="Nitrogen Availability" sheetId="8" r:id="rId8"/>
    <sheet name="Sheet1" sheetId="9" state="hidden" r:id="rId9"/>
    <sheet name="Sheet 2" sheetId="10" state="hidden" r:id="rId10"/>
  </sheets>
  <definedNames>
    <definedName name="_xlfn.IFERROR" hidden="1">#NAME?</definedName>
  </definedNames>
  <calcPr fullCalcOnLoad="1"/>
</workbook>
</file>

<file path=xl/comments4.xml><?xml version="1.0" encoding="utf-8"?>
<comments xmlns="http://schemas.openxmlformats.org/spreadsheetml/2006/main">
  <authors>
    <author>DC6379</author>
  </authors>
  <commentList>
    <comment ref="D23" authorId="0">
      <text>
        <r>
          <rPr>
            <sz val="8"/>
            <rFont val="Tahoma"/>
            <family val="2"/>
          </rPr>
          <t>kg P2O5/tonne</t>
        </r>
      </text>
    </comment>
    <comment ref="D24" authorId="0">
      <text>
        <r>
          <rPr>
            <sz val="8"/>
            <rFont val="Tahoma"/>
            <family val="2"/>
          </rPr>
          <t>kg K2O/tonne</t>
        </r>
      </text>
    </comment>
  </commentList>
</comments>
</file>

<file path=xl/sharedStrings.xml><?xml version="1.0" encoding="utf-8"?>
<sst xmlns="http://schemas.openxmlformats.org/spreadsheetml/2006/main" count="246" uniqueCount="146">
  <si>
    <t>Spreading Cost</t>
  </si>
  <si>
    <t>($/hr)</t>
  </si>
  <si>
    <t>Breakeven</t>
  </si>
  <si>
    <t>($/tonne)</t>
  </si>
  <si>
    <t>Tractor</t>
  </si>
  <si>
    <t>Spreader</t>
  </si>
  <si>
    <t>Purchase Price ($)</t>
  </si>
  <si>
    <t>Tractor PTO (hp)</t>
  </si>
  <si>
    <t>Depreciation ($/yr)</t>
  </si>
  <si>
    <t>Wages ($/hr)</t>
  </si>
  <si>
    <t>Fuel ($/L)</t>
  </si>
  <si>
    <t>Ownership Costs ($/yr)</t>
  </si>
  <si>
    <t>Fuel &amp; Lubricants ($/yr)</t>
  </si>
  <si>
    <t>Repairs ($/yr)</t>
  </si>
  <si>
    <t>Labour ($/yr)</t>
  </si>
  <si>
    <t>Total Costs ($/yr)</t>
  </si>
  <si>
    <t>Housing, Interest, &amp; Insurance ($/yr)</t>
  </si>
  <si>
    <t>Fertilizer</t>
  </si>
  <si>
    <t>Potash (0-0-60)</t>
  </si>
  <si>
    <t>Price ($/tonne)</t>
  </si>
  <si>
    <t>Nutrient Value ($/kg)</t>
  </si>
  <si>
    <t>Organic-N</t>
  </si>
  <si>
    <t>Availability</t>
  </si>
  <si>
    <t>N</t>
  </si>
  <si>
    <t>P</t>
  </si>
  <si>
    <t>K</t>
  </si>
  <si>
    <t>Manure</t>
  </si>
  <si>
    <t>($/unit)</t>
  </si>
  <si>
    <t>Factor</t>
  </si>
  <si>
    <t>($/kg)</t>
  </si>
  <si>
    <t>Distance (km)</t>
  </si>
  <si>
    <t>Remaining Value</t>
  </si>
  <si>
    <t>Time (min)</t>
  </si>
  <si>
    <t>P (%)</t>
  </si>
  <si>
    <t>K (%)</t>
  </si>
  <si>
    <t>Organic-N (%)</t>
  </si>
  <si>
    <t>Animal</t>
  </si>
  <si>
    <t>Type</t>
  </si>
  <si>
    <t>Total N</t>
  </si>
  <si>
    <t>(%)</t>
  </si>
  <si>
    <t>(ppm)</t>
  </si>
  <si>
    <t>Liquid</t>
  </si>
  <si>
    <t>Solid</t>
  </si>
  <si>
    <t>Poultry</t>
  </si>
  <si>
    <r>
      <t>NH</t>
    </r>
    <r>
      <rPr>
        <b/>
        <vertAlign val="subscript"/>
        <sz val="10"/>
        <rFont val="Arial"/>
        <family val="2"/>
      </rPr>
      <t>4</t>
    </r>
    <r>
      <rPr>
        <b/>
        <sz val="10"/>
        <rFont val="Arial"/>
        <family val="2"/>
      </rPr>
      <t>-N</t>
    </r>
  </si>
  <si>
    <t>Incorporated Manure, days after application</t>
  </si>
  <si>
    <t>Injected</t>
  </si>
  <si>
    <t>Incorporated within 1 day</t>
  </si>
  <si>
    <t>Incorporated within 2 day</t>
  </si>
  <si>
    <t>Incorporated within 3 day</t>
  </si>
  <si>
    <t>Incorporated within 4 day</t>
  </si>
  <si>
    <t>Incorporated within 5 day</t>
  </si>
  <si>
    <t>Not Incorporated</t>
  </si>
  <si>
    <t>Late fall (air temp &lt; 10 deg C)</t>
  </si>
  <si>
    <t>N/A</t>
  </si>
  <si>
    <t>Other livestock</t>
  </si>
  <si>
    <t>Normal Solid</t>
  </si>
  <si>
    <t>Bedding Pack</t>
  </si>
  <si>
    <t>% N</t>
  </si>
  <si>
    <t>Total Nitrogen (%)</t>
  </si>
  <si>
    <t>Option A</t>
  </si>
  <si>
    <t>Option B</t>
  </si>
  <si>
    <t>Spreading Costs ($/hr)</t>
  </si>
  <si>
    <t>Total Spreading Cost ($/hr)</t>
  </si>
  <si>
    <r>
      <t>% P</t>
    </r>
    <r>
      <rPr>
        <b/>
        <vertAlign val="subscript"/>
        <sz val="10"/>
        <rFont val="Arial"/>
        <family val="2"/>
      </rPr>
      <t>2</t>
    </r>
    <r>
      <rPr>
        <b/>
        <sz val="10"/>
        <rFont val="Arial"/>
        <family val="2"/>
      </rPr>
      <t>O</t>
    </r>
    <r>
      <rPr>
        <b/>
        <vertAlign val="subscript"/>
        <sz val="10"/>
        <rFont val="Arial"/>
        <family val="2"/>
      </rPr>
      <t>5</t>
    </r>
  </si>
  <si>
    <r>
      <t>% K</t>
    </r>
    <r>
      <rPr>
        <b/>
        <vertAlign val="subscript"/>
        <sz val="10"/>
        <rFont val="Arial"/>
        <family val="2"/>
      </rPr>
      <t>2</t>
    </r>
    <r>
      <rPr>
        <b/>
        <sz val="10"/>
        <rFont val="Arial"/>
        <family val="2"/>
      </rPr>
      <t>O</t>
    </r>
  </si>
  <si>
    <r>
      <t>NH</t>
    </r>
    <r>
      <rPr>
        <b/>
        <vertAlign val="subscript"/>
        <sz val="10"/>
        <rFont val="Arial"/>
        <family val="2"/>
      </rPr>
      <t>4</t>
    </r>
    <r>
      <rPr>
        <b/>
        <sz val="10"/>
        <rFont val="Arial"/>
        <family val="2"/>
      </rPr>
      <t>-N (ppm)</t>
    </r>
  </si>
  <si>
    <r>
      <t>P</t>
    </r>
    <r>
      <rPr>
        <b/>
        <vertAlign val="subscript"/>
        <sz val="10"/>
        <rFont val="Arial"/>
        <family val="2"/>
      </rPr>
      <t>2</t>
    </r>
    <r>
      <rPr>
        <b/>
        <sz val="10"/>
        <rFont val="Arial"/>
        <family val="2"/>
      </rPr>
      <t>O</t>
    </r>
    <r>
      <rPr>
        <b/>
        <vertAlign val="subscript"/>
        <sz val="10"/>
        <rFont val="Arial"/>
        <family val="2"/>
      </rPr>
      <t>5</t>
    </r>
  </si>
  <si>
    <r>
      <t>K</t>
    </r>
    <r>
      <rPr>
        <b/>
        <vertAlign val="subscript"/>
        <sz val="10"/>
        <rFont val="Arial"/>
        <family val="2"/>
      </rPr>
      <t>2</t>
    </r>
    <r>
      <rPr>
        <b/>
        <sz val="10"/>
        <rFont val="Arial"/>
        <family val="2"/>
      </rPr>
      <t>O</t>
    </r>
  </si>
  <si>
    <t>Price</t>
  </si>
  <si>
    <t>Nutrient Value</t>
  </si>
  <si>
    <t>Housing, Interest, &amp; Insurance Factor</t>
  </si>
  <si>
    <t>Avg Hauling Speed (km/hr)</t>
  </si>
  <si>
    <t>($/tonne) or ($/1000 L)</t>
  </si>
  <si>
    <t>Typical Manure Analysis</t>
  </si>
  <si>
    <t>Additional Fields</t>
  </si>
  <si>
    <t>One-way Hauling Distance (km)</t>
  </si>
  <si>
    <t>Addition Use (hr)</t>
  </si>
  <si>
    <t>Breakeven One-way Distance (km)</t>
  </si>
  <si>
    <t>Breakeven One-way Time (min)</t>
  </si>
  <si>
    <t>0</t>
  </si>
  <si>
    <t>Useful Life (yr)</t>
  </si>
  <si>
    <t>Ammonium nitrate (34-0-0)</t>
  </si>
  <si>
    <t>Triple superphosphate (0-46-0)</t>
  </si>
  <si>
    <t>(kg/tonne)</t>
  </si>
  <si>
    <t>Operating Costs ($/yr)</t>
  </si>
  <si>
    <t>Additional Field(s)</t>
  </si>
  <si>
    <t>Field Size (Acres)</t>
  </si>
  <si>
    <t>Avail Nutr</t>
  </si>
  <si>
    <t>Application Date</t>
  </si>
  <si>
    <t>C:N ratio 15 to 25</t>
  </si>
  <si>
    <t>C:N ratio &gt; 25</t>
  </si>
  <si>
    <t>Spreading Cost ($ per hr)</t>
  </si>
  <si>
    <t>Spreader Capacity (tonne or 1000 L)</t>
  </si>
  <si>
    <t>Av Spreading Rate (Loads/Acre)</t>
  </si>
  <si>
    <t>Custom Spreading Cost * ($/hr)</t>
  </si>
  <si>
    <t>Total Size of Fields (Acres)</t>
  </si>
  <si>
    <t>Spreading rate (Loads/Acre)</t>
  </si>
  <si>
    <t>Manure Value</t>
  </si>
  <si>
    <t>Option A *</t>
  </si>
  <si>
    <t>* Use when the prices of all three base ingredients of fertilizer blends are known.</t>
  </si>
  <si>
    <t>Option B **</t>
  </si>
  <si>
    <t>** Use when the price of only a N-P-K fertilizer blend is known.</t>
  </si>
  <si>
    <t>Manure Analysis ***</t>
  </si>
  <si>
    <t>*** Use results from the "as is" basis column.</t>
  </si>
  <si>
    <r>
      <t>NH</t>
    </r>
    <r>
      <rPr>
        <b/>
        <vertAlign val="subscript"/>
        <sz val="10"/>
        <color indexed="8"/>
        <rFont val="Arial"/>
        <family val="2"/>
      </rPr>
      <t>4</t>
    </r>
    <r>
      <rPr>
        <b/>
        <sz val="10"/>
        <rFont val="Arial"/>
        <family val="2"/>
      </rPr>
      <t>-N Availability Coefficients</t>
    </r>
  </si>
  <si>
    <t>Bare soils</t>
  </si>
  <si>
    <t>Crop residues</t>
  </si>
  <si>
    <t>Standing crops</t>
  </si>
  <si>
    <t>C:N ratio* &lt; 15</t>
  </si>
  <si>
    <t>* To determine the C:N ratio, divide the Carbon(%) by the Nitrogen(%) from the manure analysis report</t>
  </si>
  <si>
    <t>* The custom rate is the cost to haul to the field, which may differ from the spreading costs.</t>
  </si>
  <si>
    <t>* If entered, MHaulCo$T uses the custom spreading cost as the manure spreading cost.</t>
  </si>
  <si>
    <t>Current Annual Use (hr)</t>
  </si>
  <si>
    <t>Additional Annual Use * (hr)</t>
  </si>
  <si>
    <t>* Add to Current Annual Use (hr) on previous worksheet</t>
  </si>
  <si>
    <t>Additional Annual Use*** (hr)</t>
  </si>
  <si>
    <t>***Add to Current Annual Use (hr)</t>
  </si>
  <si>
    <t>Org-N Availability Coefficients</t>
  </si>
  <si>
    <t>** Coefficient is a negative number, enter -0.20  .</t>
  </si>
  <si>
    <t>0 to -0.20**</t>
  </si>
  <si>
    <t>Equivalent Fertilizer Value</t>
  </si>
  <si>
    <r>
      <t>P</t>
    </r>
    <r>
      <rPr>
        <vertAlign val="subscript"/>
        <sz val="10"/>
        <rFont val="Arial"/>
        <family val="2"/>
      </rPr>
      <t>2</t>
    </r>
    <r>
      <rPr>
        <sz val="10"/>
        <rFont val="Arial"/>
        <family val="0"/>
      </rPr>
      <t>O</t>
    </r>
    <r>
      <rPr>
        <vertAlign val="subscript"/>
        <sz val="10"/>
        <rFont val="Arial"/>
        <family val="2"/>
      </rPr>
      <t>5</t>
    </r>
  </si>
  <si>
    <r>
      <t>K</t>
    </r>
    <r>
      <rPr>
        <vertAlign val="subscript"/>
        <sz val="10"/>
        <rFont val="Arial"/>
        <family val="2"/>
      </rPr>
      <t>2</t>
    </r>
    <r>
      <rPr>
        <sz val="10"/>
        <rFont val="Arial"/>
        <family val="0"/>
      </rPr>
      <t>O</t>
    </r>
  </si>
  <si>
    <t>Ca</t>
  </si>
  <si>
    <t>Mg</t>
  </si>
  <si>
    <t>S</t>
  </si>
  <si>
    <t>Zn</t>
  </si>
  <si>
    <t>Cu</t>
  </si>
  <si>
    <t>Mn</t>
  </si>
  <si>
    <t>-</t>
  </si>
  <si>
    <r>
      <rPr>
        <vertAlign val="superscript"/>
        <sz val="11"/>
        <color indexed="8"/>
        <rFont val="Calibri"/>
        <family val="2"/>
      </rPr>
      <t>a</t>
    </r>
    <r>
      <rPr>
        <sz val="10"/>
        <rFont val="Arial"/>
        <family val="0"/>
      </rPr>
      <t>Soil Fertility Handbook, Publication 611, OMAFRA 2006</t>
    </r>
  </si>
  <si>
    <r>
      <rPr>
        <vertAlign val="superscript"/>
        <sz val="11"/>
        <color indexed="8"/>
        <rFont val="Calibri"/>
        <family val="2"/>
      </rPr>
      <t>b</t>
    </r>
    <r>
      <rPr>
        <sz val="10"/>
        <rFont val="Arial"/>
        <family val="0"/>
      </rPr>
      <t>Available Nutrients and Value of Manure From Various Livestock Types, AgDex 538, OMAFRA 2008</t>
    </r>
  </si>
  <si>
    <r>
      <t>Swine</t>
    </r>
    <r>
      <rPr>
        <vertAlign val="superscript"/>
        <sz val="11"/>
        <color indexed="8"/>
        <rFont val="Calibri"/>
        <family val="2"/>
      </rPr>
      <t>a</t>
    </r>
  </si>
  <si>
    <r>
      <t>Dairy</t>
    </r>
    <r>
      <rPr>
        <vertAlign val="superscript"/>
        <sz val="11"/>
        <color indexed="8"/>
        <rFont val="Calibri"/>
        <family val="2"/>
      </rPr>
      <t>a</t>
    </r>
  </si>
  <si>
    <r>
      <t>Beef</t>
    </r>
    <r>
      <rPr>
        <vertAlign val="superscript"/>
        <sz val="11"/>
        <color indexed="8"/>
        <rFont val="Calibri"/>
        <family val="2"/>
      </rPr>
      <t>a</t>
    </r>
  </si>
  <si>
    <r>
      <t>Chickens</t>
    </r>
    <r>
      <rPr>
        <vertAlign val="superscript"/>
        <sz val="11"/>
        <color indexed="8"/>
        <rFont val="Calibri"/>
        <family val="2"/>
      </rPr>
      <t>a</t>
    </r>
  </si>
  <si>
    <r>
      <t>Horse</t>
    </r>
    <r>
      <rPr>
        <vertAlign val="superscript"/>
        <sz val="11"/>
        <color indexed="8"/>
        <rFont val="Calibri"/>
        <family val="2"/>
      </rPr>
      <t>a</t>
    </r>
  </si>
  <si>
    <t>Sheep</t>
  </si>
  <si>
    <r>
      <t>Goats</t>
    </r>
    <r>
      <rPr>
        <vertAlign val="superscript"/>
        <sz val="11"/>
        <color indexed="8"/>
        <rFont val="Calibri"/>
        <family val="2"/>
      </rPr>
      <t>a</t>
    </r>
  </si>
  <si>
    <r>
      <t>Mink</t>
    </r>
    <r>
      <rPr>
        <vertAlign val="superscript"/>
        <sz val="11"/>
        <color indexed="8"/>
        <rFont val="Calibri"/>
        <family val="2"/>
      </rPr>
      <t>b</t>
    </r>
  </si>
  <si>
    <r>
      <t>Foxes</t>
    </r>
    <r>
      <rPr>
        <vertAlign val="superscript"/>
        <sz val="11"/>
        <color indexed="8"/>
        <rFont val="Calibri"/>
        <family val="2"/>
      </rPr>
      <t>b</t>
    </r>
  </si>
  <si>
    <t>Pre-tilled</t>
  </si>
  <si>
    <t>Nitrogen management for corn: general fertilizer recommendations. Zebarth et al. 2006</t>
  </si>
  <si>
    <t>Spring/Summer</t>
  </si>
  <si>
    <t>Previous Fall</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</si>
</sst>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00"/>
    <numFmt numFmtId="173" formatCode="0.0"/>
    <numFmt numFmtId="174" formatCode="&quot;$&quot;#,##0"/>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0"/>
    <numFmt numFmtId="181" formatCode="[$-409]h:mm:ss\ AM/PM"/>
    <numFmt numFmtId="182" formatCode="[$-1009]mmmm\ d\,\ yyyy"/>
    <numFmt numFmtId="183" formatCode="yy\-mm\-dd;@"/>
    <numFmt numFmtId="184" formatCode="0.0000"/>
  </numFmts>
  <fonts count="49">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b/>
      <vertAlign val="subscript"/>
      <sz val="10"/>
      <name val="Arial"/>
      <family val="2"/>
    </font>
    <font>
      <b/>
      <vertAlign val="subscript"/>
      <sz val="10"/>
      <color indexed="8"/>
      <name val="Arial"/>
      <family val="2"/>
    </font>
    <font>
      <b/>
      <sz val="9"/>
      <name val="Arial"/>
      <family val="2"/>
    </font>
    <font>
      <sz val="8"/>
      <name val="Tahoma"/>
      <family val="2"/>
    </font>
    <font>
      <vertAlign val="subscript"/>
      <sz val="10"/>
      <name val="Arial"/>
      <family val="2"/>
    </font>
    <font>
      <vertAlign val="superscript"/>
      <sz val="11"/>
      <color indexed="8"/>
      <name val="Calibri"/>
      <family val="2"/>
    </font>
    <font>
      <sz val="10"/>
      <color indexed="8"/>
      <name val="Arial"/>
      <family val="0"/>
    </font>
    <font>
      <sz val="8.45"/>
      <color indexed="8"/>
      <name val="Arial"/>
      <family val="0"/>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Calibri"/>
      <family val="0"/>
    </font>
    <font>
      <b/>
      <sz val="11"/>
      <color indexed="8"/>
      <name val="Calibri"/>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8"/>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thin"/>
      <bottom style="double"/>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thin"/>
      <bottom style="double"/>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28"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29" borderId="1" applyNumberFormat="0" applyAlignment="0" applyProtection="0"/>
    <xf numFmtId="0" fontId="42" fillId="0" borderId="6" applyNumberFormat="0" applyFill="0" applyAlignment="0" applyProtection="0"/>
    <xf numFmtId="0" fontId="43" fillId="30" borderId="0" applyNumberFormat="0" applyBorder="0" applyAlignment="0" applyProtection="0"/>
    <xf numFmtId="0" fontId="0" fillId="31" borderId="7" applyNumberFormat="0" applyFont="0" applyAlignment="0" applyProtection="0"/>
    <xf numFmtId="0" fontId="44" fillId="26"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21">
    <xf numFmtId="0" fontId="0" fillId="0" borderId="0" xfId="0" applyAlignment="1">
      <alignment/>
    </xf>
    <xf numFmtId="172" fontId="0" fillId="0" borderId="0" xfId="0" applyNumberFormat="1" applyAlignment="1">
      <alignment/>
    </xf>
    <xf numFmtId="173" fontId="0" fillId="0" borderId="0" xfId="0" applyNumberFormat="1" applyFill="1" applyBorder="1" applyAlignment="1">
      <alignment/>
    </xf>
    <xf numFmtId="172" fontId="0" fillId="0" borderId="0" xfId="0" applyNumberFormat="1" applyFill="1" applyBorder="1" applyAlignment="1">
      <alignment/>
    </xf>
    <xf numFmtId="0" fontId="0" fillId="0" borderId="0" xfId="0" applyFill="1" applyAlignment="1">
      <alignment/>
    </xf>
    <xf numFmtId="0" fontId="0" fillId="0" borderId="0" xfId="0" applyFill="1" applyBorder="1" applyAlignment="1">
      <alignment/>
    </xf>
    <xf numFmtId="0" fontId="0" fillId="10" borderId="0" xfId="0" applyFill="1" applyAlignment="1">
      <alignment/>
    </xf>
    <xf numFmtId="172" fontId="0" fillId="10" borderId="0" xfId="0" applyNumberFormat="1" applyFill="1" applyAlignment="1">
      <alignment/>
    </xf>
    <xf numFmtId="175" fontId="0" fillId="0" borderId="0" xfId="0" applyNumberFormat="1" applyFill="1" applyAlignment="1">
      <alignment/>
    </xf>
    <xf numFmtId="0" fontId="0" fillId="0" borderId="0" xfId="0" applyAlignment="1">
      <alignment horizontal="center"/>
    </xf>
    <xf numFmtId="2" fontId="0" fillId="0" borderId="0" xfId="0" applyNumberFormat="1" applyAlignment="1">
      <alignment horizontal="center"/>
    </xf>
    <xf numFmtId="0" fontId="0" fillId="0" borderId="0" xfId="0" applyFont="1" applyAlignment="1">
      <alignment/>
    </xf>
    <xf numFmtId="0" fontId="4" fillId="0" borderId="0" xfId="0" applyFont="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0" fillId="0" borderId="11" xfId="0"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2" fontId="0" fillId="0" borderId="11" xfId="0" applyNumberFormat="1" applyBorder="1" applyAlignment="1">
      <alignment horizontal="center"/>
    </xf>
    <xf numFmtId="0" fontId="0" fillId="0" borderId="12" xfId="0" applyBorder="1" applyAlignment="1">
      <alignment horizontal="center"/>
    </xf>
    <xf numFmtId="0" fontId="4" fillId="0" borderId="12" xfId="0" applyFont="1" applyBorder="1" applyAlignment="1">
      <alignment horizontal="left"/>
    </xf>
    <xf numFmtId="0" fontId="4" fillId="0" borderId="10" xfId="0" applyFont="1" applyBorder="1" applyAlignment="1">
      <alignment/>
    </xf>
    <xf numFmtId="0" fontId="4" fillId="0" borderId="0" xfId="0" applyFont="1" applyBorder="1" applyAlignment="1">
      <alignment/>
    </xf>
    <xf numFmtId="0" fontId="4" fillId="0" borderId="0" xfId="0" applyFont="1" applyBorder="1" applyAlignment="1">
      <alignment horizontal="center"/>
    </xf>
    <xf numFmtId="0" fontId="4" fillId="0" borderId="11" xfId="0" applyFont="1" applyBorder="1" applyAlignment="1">
      <alignment/>
    </xf>
    <xf numFmtId="0" fontId="4" fillId="0" borderId="0" xfId="0" applyFont="1" applyAlignment="1">
      <alignment/>
    </xf>
    <xf numFmtId="0" fontId="0" fillId="0" borderId="0" xfId="0" applyFill="1" applyBorder="1" applyAlignment="1">
      <alignment horizontal="left"/>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xf>
    <xf numFmtId="0" fontId="0" fillId="0" borderId="0" xfId="0" applyBorder="1" applyAlignment="1">
      <alignment/>
    </xf>
    <xf numFmtId="173" fontId="0" fillId="0" borderId="0" xfId="0" applyNumberFormat="1" applyAlignment="1">
      <alignment/>
    </xf>
    <xf numFmtId="175" fontId="0" fillId="0" borderId="0" xfId="0" applyNumberFormat="1" applyFont="1" applyAlignment="1">
      <alignment/>
    </xf>
    <xf numFmtId="0" fontId="0" fillId="0" borderId="13" xfId="0" applyBorder="1" applyAlignment="1">
      <alignment/>
    </xf>
    <xf numFmtId="0" fontId="0" fillId="0" borderId="14" xfId="0" applyBorder="1" applyAlignment="1">
      <alignment/>
    </xf>
    <xf numFmtId="0" fontId="0" fillId="0" borderId="14" xfId="0" applyFill="1" applyBorder="1" applyAlignment="1">
      <alignment/>
    </xf>
    <xf numFmtId="0" fontId="0" fillId="0" borderId="15" xfId="0" applyBorder="1" applyAlignment="1">
      <alignment/>
    </xf>
    <xf numFmtId="0" fontId="0" fillId="0" borderId="15" xfId="0" applyFill="1" applyBorder="1" applyAlignment="1">
      <alignment/>
    </xf>
    <xf numFmtId="174" fontId="0" fillId="0" borderId="14" xfId="0" applyNumberFormat="1" applyBorder="1" applyAlignment="1">
      <alignment/>
    </xf>
    <xf numFmtId="174" fontId="0" fillId="0" borderId="14" xfId="0" applyNumberFormat="1" applyFill="1" applyBorder="1" applyAlignment="1">
      <alignment/>
    </xf>
    <xf numFmtId="0" fontId="0" fillId="0" borderId="0" xfId="0" applyBorder="1" applyAlignment="1">
      <alignment horizontal="center"/>
    </xf>
    <xf numFmtId="0" fontId="0" fillId="0" borderId="0" xfId="0" applyFill="1" applyBorder="1" applyAlignment="1">
      <alignment horizontal="center"/>
    </xf>
    <xf numFmtId="172" fontId="0" fillId="0" borderId="0" xfId="0" applyNumberFormat="1" applyFill="1" applyBorder="1" applyAlignment="1">
      <alignment horizontal="center"/>
    </xf>
    <xf numFmtId="0" fontId="0" fillId="10" borderId="0" xfId="0" applyFont="1" applyFill="1" applyAlignment="1">
      <alignment/>
    </xf>
    <xf numFmtId="172" fontId="0" fillId="0" borderId="0" xfId="0" applyNumberFormat="1" applyFill="1" applyAlignment="1">
      <alignment/>
    </xf>
    <xf numFmtId="0" fontId="0" fillId="0" borderId="0" xfId="0" applyFont="1" applyFill="1" applyAlignment="1">
      <alignment/>
    </xf>
    <xf numFmtId="172" fontId="0" fillId="0" borderId="16" xfId="0" applyNumberFormat="1" applyFill="1" applyBorder="1" applyAlignment="1">
      <alignment/>
    </xf>
    <xf numFmtId="174" fontId="0" fillId="32" borderId="0" xfId="0" applyNumberFormat="1" applyFill="1" applyAlignment="1" applyProtection="1">
      <alignment/>
      <protection locked="0"/>
    </xf>
    <xf numFmtId="0" fontId="0" fillId="32" borderId="0" xfId="0" applyFill="1" applyAlignment="1" applyProtection="1">
      <alignment/>
      <protection locked="0"/>
    </xf>
    <xf numFmtId="172" fontId="0" fillId="32" borderId="0" xfId="0" applyNumberFormat="1" applyFill="1" applyAlignment="1" applyProtection="1">
      <alignment/>
      <protection locked="0"/>
    </xf>
    <xf numFmtId="10" fontId="0" fillId="32" borderId="0" xfId="0" applyNumberFormat="1" applyFill="1" applyAlignment="1" applyProtection="1">
      <alignment/>
      <protection locked="0"/>
    </xf>
    <xf numFmtId="0" fontId="4" fillId="0" borderId="0" xfId="0" applyFont="1" applyFill="1" applyAlignment="1">
      <alignment/>
    </xf>
    <xf numFmtId="0" fontId="4" fillId="0" borderId="13" xfId="0" applyFont="1" applyBorder="1" applyAlignment="1">
      <alignment/>
    </xf>
    <xf numFmtId="0" fontId="4" fillId="0" borderId="17" xfId="0" applyFont="1" applyBorder="1" applyAlignment="1">
      <alignment/>
    </xf>
    <xf numFmtId="0" fontId="0" fillId="0" borderId="11" xfId="0" applyFill="1" applyBorder="1" applyAlignment="1">
      <alignment/>
    </xf>
    <xf numFmtId="0" fontId="4" fillId="0" borderId="11" xfId="0" applyFont="1" applyFill="1" applyBorder="1" applyAlignment="1">
      <alignment horizontal="center"/>
    </xf>
    <xf numFmtId="0" fontId="0" fillId="0" borderId="13" xfId="0" applyFill="1" applyBorder="1" applyAlignment="1">
      <alignment/>
    </xf>
    <xf numFmtId="172" fontId="0" fillId="0" borderId="18" xfId="0" applyNumberFormat="1" applyFill="1" applyBorder="1" applyAlignment="1">
      <alignment horizontal="center"/>
    </xf>
    <xf numFmtId="173" fontId="0" fillId="0" borderId="16" xfId="0" applyNumberFormat="1" applyFill="1" applyBorder="1" applyAlignment="1">
      <alignment/>
    </xf>
    <xf numFmtId="174" fontId="0" fillId="32" borderId="14" xfId="0" applyNumberFormat="1" applyFill="1" applyBorder="1" applyAlignment="1" applyProtection="1">
      <alignment/>
      <protection locked="0"/>
    </xf>
    <xf numFmtId="0" fontId="0" fillId="32" borderId="0" xfId="0" applyFill="1" applyBorder="1" applyAlignment="1" applyProtection="1">
      <alignment horizontal="center"/>
      <protection locked="0"/>
    </xf>
    <xf numFmtId="0" fontId="4" fillId="0" borderId="13" xfId="0" applyFont="1" applyFill="1" applyBorder="1" applyAlignment="1">
      <alignment/>
    </xf>
    <xf numFmtId="0" fontId="4" fillId="0" borderId="17" xfId="0" applyFont="1" applyFill="1" applyBorder="1" applyAlignment="1">
      <alignment/>
    </xf>
    <xf numFmtId="0" fontId="4" fillId="0" borderId="14" xfId="0" applyFont="1" applyBorder="1" applyAlignment="1">
      <alignment/>
    </xf>
    <xf numFmtId="0" fontId="4" fillId="0" borderId="0" xfId="0" applyFont="1" applyFill="1" applyBorder="1" applyAlignment="1">
      <alignment horizontal="center"/>
    </xf>
    <xf numFmtId="0" fontId="4" fillId="0" borderId="14" xfId="0" applyFont="1" applyFill="1" applyBorder="1" applyAlignment="1">
      <alignment/>
    </xf>
    <xf numFmtId="0" fontId="4" fillId="0" borderId="0" xfId="0" applyFont="1" applyFill="1" applyAlignment="1">
      <alignment horizontal="center"/>
    </xf>
    <xf numFmtId="0" fontId="4" fillId="0" borderId="18" xfId="0" applyFont="1" applyFill="1" applyBorder="1" applyAlignment="1">
      <alignment horizontal="center"/>
    </xf>
    <xf numFmtId="0" fontId="4" fillId="0" borderId="11" xfId="0" applyFont="1" applyBorder="1" applyAlignment="1">
      <alignment horizontal="left"/>
    </xf>
    <xf numFmtId="0" fontId="4" fillId="0" borderId="0" xfId="0" applyFont="1" applyAlignment="1">
      <alignment horizontal="left"/>
    </xf>
    <xf numFmtId="0" fontId="4" fillId="0" borderId="0" xfId="0" applyFont="1" applyAlignment="1">
      <alignment horizontal="centerContinuous"/>
    </xf>
    <xf numFmtId="0" fontId="7" fillId="0" borderId="0" xfId="0" applyFont="1" applyAlignment="1">
      <alignment/>
    </xf>
    <xf numFmtId="0" fontId="0" fillId="33" borderId="0" xfId="0" applyFill="1" applyAlignment="1">
      <alignment/>
    </xf>
    <xf numFmtId="0" fontId="4" fillId="0" borderId="0" xfId="0" applyFont="1" applyFill="1" applyBorder="1" applyAlignment="1">
      <alignment/>
    </xf>
    <xf numFmtId="175" fontId="0" fillId="10" borderId="0" xfId="0" applyNumberFormat="1" applyFill="1" applyAlignment="1">
      <alignment/>
    </xf>
    <xf numFmtId="173" fontId="0" fillId="10" borderId="0" xfId="0" applyNumberFormat="1" applyFill="1" applyBorder="1" applyAlignment="1">
      <alignment/>
    </xf>
    <xf numFmtId="173" fontId="0" fillId="10" borderId="0" xfId="0" applyNumberFormat="1" applyFill="1" applyAlignment="1">
      <alignment/>
    </xf>
    <xf numFmtId="175" fontId="0" fillId="10" borderId="0" xfId="0" applyNumberFormat="1" applyFont="1" applyFill="1" applyAlignment="1">
      <alignment/>
    </xf>
    <xf numFmtId="0" fontId="0" fillId="0" borderId="16" xfId="0" applyFont="1" applyBorder="1" applyAlignment="1">
      <alignment horizontal="center"/>
    </xf>
    <xf numFmtId="0" fontId="0" fillId="0" borderId="14" xfId="0" applyFont="1" applyFill="1" applyBorder="1" applyAlignment="1" applyProtection="1">
      <alignment horizontal="center"/>
      <protection locked="0"/>
    </xf>
    <xf numFmtId="172" fontId="0" fillId="32" borderId="16" xfId="0" applyNumberFormat="1" applyFill="1" applyBorder="1" applyAlignment="1" applyProtection="1">
      <alignment/>
      <protection locked="0"/>
    </xf>
    <xf numFmtId="0" fontId="0" fillId="0" borderId="14" xfId="0" applyFill="1" applyBorder="1" applyAlignment="1" applyProtection="1">
      <alignment horizontal="center"/>
      <protection/>
    </xf>
    <xf numFmtId="0" fontId="0" fillId="0" borderId="19" xfId="0" applyFont="1" applyBorder="1" applyAlignment="1" applyProtection="1">
      <alignment horizontal="center"/>
      <protection/>
    </xf>
    <xf numFmtId="0" fontId="0" fillId="32" borderId="0" xfId="0" applyFill="1" applyAlignment="1" applyProtection="1">
      <alignment horizontal="center"/>
      <protection locked="0"/>
    </xf>
    <xf numFmtId="49" fontId="0" fillId="32" borderId="13" xfId="0" applyNumberFormat="1"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0" fontId="0" fillId="0" borderId="18" xfId="0" applyFill="1" applyBorder="1" applyAlignment="1">
      <alignment/>
    </xf>
    <xf numFmtId="0" fontId="0" fillId="0" borderId="18" xfId="0" applyFont="1" applyBorder="1" applyAlignment="1">
      <alignment/>
    </xf>
    <xf numFmtId="0" fontId="0" fillId="0" borderId="20" xfId="0" applyFont="1" applyBorder="1" applyAlignment="1">
      <alignment/>
    </xf>
    <xf numFmtId="0" fontId="0" fillId="0" borderId="21" xfId="0" applyBorder="1" applyAlignment="1">
      <alignment/>
    </xf>
    <xf numFmtId="184" fontId="0" fillId="0" borderId="0" xfId="0" applyNumberFormat="1" applyFill="1" applyAlignment="1">
      <alignment/>
    </xf>
    <xf numFmtId="2" fontId="0" fillId="0" borderId="14" xfId="0" applyNumberFormat="1" applyFont="1" applyFill="1" applyBorder="1" applyAlignment="1" applyProtection="1">
      <alignment horizontal="center"/>
      <protection/>
    </xf>
    <xf numFmtId="2" fontId="0" fillId="0" borderId="0" xfId="0" applyNumberFormat="1" applyFill="1" applyBorder="1" applyAlignment="1" applyProtection="1">
      <alignment horizontal="center"/>
      <protection locked="0"/>
    </xf>
    <xf numFmtId="2" fontId="0" fillId="0" borderId="0" xfId="0" applyNumberFormat="1" applyFill="1" applyAlignment="1">
      <alignment/>
    </xf>
    <xf numFmtId="0" fontId="4" fillId="0" borderId="0" xfId="0" applyFont="1" applyFill="1" applyAlignment="1">
      <alignment horizontal="left"/>
    </xf>
    <xf numFmtId="0" fontId="0" fillId="0" borderId="0" xfId="0" applyFont="1" applyAlignment="1">
      <alignment/>
    </xf>
    <xf numFmtId="0" fontId="4" fillId="0" borderId="10" xfId="0" applyFont="1" applyFill="1" applyBorder="1" applyAlignment="1">
      <alignment horizontal="center"/>
    </xf>
    <xf numFmtId="2" fontId="0" fillId="0" borderId="10" xfId="0" applyNumberFormat="1" applyBorder="1" applyAlignment="1">
      <alignment horizontal="center"/>
    </xf>
    <xf numFmtId="3" fontId="0" fillId="0" borderId="0" xfId="0" applyNumberFormat="1" applyAlignment="1">
      <alignment horizontal="center"/>
    </xf>
    <xf numFmtId="2" fontId="0" fillId="0" borderId="0" xfId="0" applyNumberFormat="1" applyBorder="1" applyAlignment="1">
      <alignment horizontal="center"/>
    </xf>
    <xf numFmtId="3" fontId="0" fillId="0" borderId="0" xfId="0" applyNumberFormat="1" applyBorder="1" applyAlignment="1">
      <alignment horizontal="center"/>
    </xf>
    <xf numFmtId="2" fontId="0" fillId="0" borderId="0" xfId="0" applyNumberFormat="1" applyFill="1" applyBorder="1" applyAlignment="1">
      <alignment horizontal="center"/>
    </xf>
    <xf numFmtId="3" fontId="0" fillId="0" borderId="11" xfId="0" applyNumberFormat="1" applyBorder="1" applyAlignment="1">
      <alignment horizontal="center"/>
    </xf>
    <xf numFmtId="0" fontId="4" fillId="0" borderId="22" xfId="0" applyFont="1" applyBorder="1" applyAlignment="1">
      <alignment horizontal="center"/>
    </xf>
    <xf numFmtId="0" fontId="4" fillId="0" borderId="21" xfId="0" applyFont="1" applyBorder="1" applyAlignment="1">
      <alignment horizontal="center"/>
    </xf>
    <xf numFmtId="0" fontId="4" fillId="0" borderId="18" xfId="0" applyFont="1" applyFill="1" applyBorder="1" applyAlignment="1">
      <alignment horizontal="center"/>
    </xf>
    <xf numFmtId="0" fontId="4" fillId="0" borderId="20" xfId="0" applyFont="1" applyBorder="1" applyAlignment="1">
      <alignment horizontal="center"/>
    </xf>
    <xf numFmtId="0" fontId="4" fillId="0" borderId="0" xfId="0" applyFont="1" applyFill="1" applyAlignment="1">
      <alignment horizontal="center"/>
    </xf>
    <xf numFmtId="0" fontId="4" fillId="0" borderId="23"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xf>
    <xf numFmtId="0" fontId="4" fillId="0" borderId="23" xfId="0" applyFont="1" applyFill="1" applyBorder="1" applyAlignment="1">
      <alignment horizontal="center"/>
    </xf>
    <xf numFmtId="0" fontId="4" fillId="0" borderId="24" xfId="0" applyFont="1" applyFill="1" applyBorder="1" applyAlignment="1">
      <alignment horizontal="center"/>
    </xf>
    <xf numFmtId="0" fontId="4" fillId="0" borderId="25" xfId="0" applyFont="1" applyFill="1" applyBorder="1" applyAlignment="1">
      <alignment horizontal="center"/>
    </xf>
    <xf numFmtId="0" fontId="4" fillId="0" borderId="0" xfId="0" applyFont="1" applyFill="1" applyBorder="1" applyAlignment="1">
      <alignment horizontal="left"/>
    </xf>
    <xf numFmtId="0" fontId="4" fillId="0" borderId="12" xfId="0" applyFont="1" applyBorder="1" applyAlignment="1">
      <alignment horizontal="left"/>
    </xf>
    <xf numFmtId="0" fontId="4" fillId="0" borderId="11" xfId="0" applyFont="1" applyBorder="1" applyAlignment="1">
      <alignment horizontal="left"/>
    </xf>
    <xf numFmtId="0" fontId="4" fillId="0" borderId="12" xfId="0" applyFont="1" applyBorder="1" applyAlignment="1">
      <alignment horizontal="center"/>
    </xf>
    <xf numFmtId="0" fontId="4" fillId="0" borderId="10" xfId="0" applyFont="1" applyBorder="1" applyAlignment="1">
      <alignment horizontal="center"/>
    </xf>
    <xf numFmtId="0" fontId="4" fillId="0" borderId="10"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007"/>
          <c:w val="0.88125"/>
          <c:h val="0.92575"/>
        </c:manualLayout>
      </c:layout>
      <c:lineChart>
        <c:grouping val="standard"/>
        <c:varyColors val="0"/>
        <c:ser>
          <c:idx val="0"/>
          <c:order val="0"/>
          <c:tx>
            <c:v>Breakeven Distance (km)</c:v>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Sheet1!$A$12:$A$42</c:f>
              <c:numCache>
                <c:ptCount val="31"/>
                <c:pt idx="0">
                  <c:v>-100</c:v>
                </c:pt>
                <c:pt idx="1">
                  <c:v>-90</c:v>
                </c:pt>
                <c:pt idx="2">
                  <c:v>-80</c:v>
                </c:pt>
                <c:pt idx="3">
                  <c:v>-70</c:v>
                </c:pt>
                <c:pt idx="4">
                  <c:v>-60</c:v>
                </c:pt>
                <c:pt idx="5">
                  <c:v>-50</c:v>
                </c:pt>
                <c:pt idx="6">
                  <c:v>-40</c:v>
                </c:pt>
                <c:pt idx="7">
                  <c:v>-30</c:v>
                </c:pt>
                <c:pt idx="8">
                  <c:v>-20</c:v>
                </c:pt>
                <c:pt idx="9">
                  <c:v>-10</c:v>
                </c:pt>
                <c:pt idx="10">
                  <c:v>0</c:v>
                </c:pt>
                <c:pt idx="11">
                  <c:v>10</c:v>
                </c:pt>
                <c:pt idx="12">
                  <c:v>20</c:v>
                </c:pt>
                <c:pt idx="13">
                  <c:v>30</c:v>
                </c:pt>
                <c:pt idx="14">
                  <c:v>40</c:v>
                </c:pt>
                <c:pt idx="15">
                  <c:v>50</c:v>
                </c:pt>
                <c:pt idx="16">
                  <c:v>60</c:v>
                </c:pt>
                <c:pt idx="17">
                  <c:v>70</c:v>
                </c:pt>
                <c:pt idx="18">
                  <c:v>80</c:v>
                </c:pt>
                <c:pt idx="19">
                  <c:v>90</c:v>
                </c:pt>
                <c:pt idx="20">
                  <c:v>100</c:v>
                </c:pt>
                <c:pt idx="21">
                  <c:v>110</c:v>
                </c:pt>
                <c:pt idx="22">
                  <c:v>120</c:v>
                </c:pt>
                <c:pt idx="23">
                  <c:v>130</c:v>
                </c:pt>
                <c:pt idx="24">
                  <c:v>140</c:v>
                </c:pt>
                <c:pt idx="25">
                  <c:v>150</c:v>
                </c:pt>
                <c:pt idx="26">
                  <c:v>160</c:v>
                </c:pt>
                <c:pt idx="27">
                  <c:v>170</c:v>
                </c:pt>
                <c:pt idx="28">
                  <c:v>180</c:v>
                </c:pt>
                <c:pt idx="29">
                  <c:v>190</c:v>
                </c:pt>
                <c:pt idx="30">
                  <c:v>200</c:v>
                </c:pt>
              </c:numCache>
            </c:numRef>
          </c:cat>
          <c:val>
            <c:numRef>
              <c:f>Sheet1!$Q$12:$Q$42</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ser>
        <c:ser>
          <c:idx val="1"/>
          <c:order val="1"/>
          <c:tx>
            <c:v>Breakeven Time (min)</c:v>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Sheet1!$R$12:$R$42</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mooth val="0"/>
        </c:ser>
        <c:marker val="1"/>
        <c:axId val="40154151"/>
        <c:axId val="25843040"/>
      </c:lineChart>
      <c:catAx>
        <c:axId val="40154151"/>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Change in Fertilizer Cost ($/tonne)</a:t>
                </a:r>
              </a:p>
            </c:rich>
          </c:tx>
          <c:layout>
            <c:manualLayout>
              <c:xMode val="factor"/>
              <c:yMode val="factor"/>
              <c:x val="-0.0115"/>
              <c:y val="0.00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25843040"/>
        <c:crosses val="autoZero"/>
        <c:auto val="1"/>
        <c:lblOffset val="100"/>
        <c:tickLblSkip val="2"/>
        <c:noMultiLvlLbl val="0"/>
      </c:catAx>
      <c:valAx>
        <c:axId val="25843040"/>
        <c:scaling>
          <c:orientation val="minMax"/>
        </c:scaling>
        <c:axPos val="l"/>
        <c:delete val="0"/>
        <c:numFmt formatCode="General" sourceLinked="1"/>
        <c:majorTickMark val="out"/>
        <c:minorTickMark val="none"/>
        <c:tickLblPos val="nextTo"/>
        <c:spPr>
          <a:ln w="3175">
            <a:solidFill>
              <a:srgbClr val="000000"/>
            </a:solidFill>
          </a:ln>
        </c:spPr>
        <c:crossAx val="40154151"/>
        <c:crossesAt val="1"/>
        <c:crossBetween val="between"/>
        <c:dispUnits/>
        <c:majorUnit val="5"/>
      </c:valAx>
      <c:spPr>
        <a:noFill/>
        <a:ln>
          <a:noFill/>
        </a:ln>
      </c:spPr>
    </c:plotArea>
    <c:legend>
      <c:legendPos val="r"/>
      <c:layout>
        <c:manualLayout>
          <c:xMode val="edge"/>
          <c:yMode val="edge"/>
          <c:x val="0.5875"/>
          <c:y val="0.31875"/>
          <c:w val="0.2555"/>
          <c:h val="0.0757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25"/>
          <c:y val="0.01725"/>
          <c:w val="0.856"/>
          <c:h val="0.9255"/>
        </c:manualLayout>
      </c:layout>
      <c:lineChart>
        <c:grouping val="standard"/>
        <c:varyColors val="0"/>
        <c:ser>
          <c:idx val="0"/>
          <c:order val="0"/>
          <c:tx>
            <c:v>Breakeven Distance (km)</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'Sheet 2'!$B$3:$B$23</c:f>
              <c:numCache>
                <c:ptCount val="21"/>
                <c:pt idx="0">
                  <c:v>-50</c:v>
                </c:pt>
                <c:pt idx="1">
                  <c:v>-45</c:v>
                </c:pt>
                <c:pt idx="2">
                  <c:v>-40</c:v>
                </c:pt>
                <c:pt idx="3">
                  <c:v>-35</c:v>
                </c:pt>
                <c:pt idx="4">
                  <c:v>-30</c:v>
                </c:pt>
                <c:pt idx="5">
                  <c:v>-25</c:v>
                </c:pt>
                <c:pt idx="6">
                  <c:v>-20</c:v>
                </c:pt>
                <c:pt idx="7">
                  <c:v>-15</c:v>
                </c:pt>
                <c:pt idx="8">
                  <c:v>-10</c:v>
                </c:pt>
                <c:pt idx="9">
                  <c:v>-5</c:v>
                </c:pt>
                <c:pt idx="10">
                  <c:v>0</c:v>
                </c:pt>
                <c:pt idx="11">
                  <c:v>5</c:v>
                </c:pt>
                <c:pt idx="12">
                  <c:v>10</c:v>
                </c:pt>
                <c:pt idx="13">
                  <c:v>15</c:v>
                </c:pt>
                <c:pt idx="14">
                  <c:v>20</c:v>
                </c:pt>
                <c:pt idx="15">
                  <c:v>25</c:v>
                </c:pt>
                <c:pt idx="16">
                  <c:v>30</c:v>
                </c:pt>
                <c:pt idx="17">
                  <c:v>35</c:v>
                </c:pt>
                <c:pt idx="18">
                  <c:v>40</c:v>
                </c:pt>
                <c:pt idx="19">
                  <c:v>45</c:v>
                </c:pt>
                <c:pt idx="20">
                  <c:v>50</c:v>
                </c:pt>
              </c:numCache>
            </c:numRef>
          </c:cat>
          <c:val>
            <c:numRef>
              <c:f>'Sheet 2'!$D$3:$D$23</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mooth val="0"/>
        </c:ser>
        <c:ser>
          <c:idx val="1"/>
          <c:order val="1"/>
          <c:tx>
            <c:v>Breakeven Time (min)</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'Sheet 2'!$E$3:$E$23</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mooth val="0"/>
        </c:ser>
        <c:marker val="1"/>
        <c:axId val="31260769"/>
        <c:axId val="12911466"/>
      </c:lineChart>
      <c:catAx>
        <c:axId val="31260769"/>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Spreading Cost ($/hr)</a:t>
                </a:r>
              </a:p>
            </c:rich>
          </c:tx>
          <c:layout>
            <c:manualLayout>
              <c:xMode val="factor"/>
              <c:yMode val="factor"/>
              <c:x val="-0.0177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12911466"/>
        <c:crosses val="autoZero"/>
        <c:auto val="1"/>
        <c:lblOffset val="100"/>
        <c:tickLblSkip val="2"/>
        <c:noMultiLvlLbl val="0"/>
      </c:catAx>
      <c:valAx>
        <c:axId val="12911466"/>
        <c:scaling>
          <c:orientation val="minMax"/>
        </c:scaling>
        <c:axPos val="l"/>
        <c:delete val="0"/>
        <c:numFmt formatCode="General" sourceLinked="1"/>
        <c:majorTickMark val="out"/>
        <c:minorTickMark val="none"/>
        <c:tickLblPos val="nextTo"/>
        <c:spPr>
          <a:ln w="3175">
            <a:solidFill>
              <a:srgbClr val="000000"/>
            </a:solidFill>
          </a:ln>
        </c:spPr>
        <c:crossAx val="31260769"/>
        <c:crossesAt val="1"/>
        <c:crossBetween val="between"/>
        <c:dispUnits/>
        <c:majorUnit val="5"/>
      </c:valAx>
      <c:spPr>
        <a:noFill/>
        <a:ln>
          <a:noFill/>
        </a:ln>
      </c:spPr>
    </c:plotArea>
    <c:legend>
      <c:legendPos val="r"/>
      <c:layout>
        <c:manualLayout>
          <c:xMode val="edge"/>
          <c:yMode val="edge"/>
          <c:x val="0.644"/>
          <c:y val="0.28875"/>
          <c:w val="0.20025"/>
          <c:h val="0.070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5">
    <tabColor indexed="11"/>
  </sheetPr>
  <sheetViews>
    <sheetView workbookViewId="0" zoomScale="93"/>
  </sheetViews>
  <pageMargins left="0.75" right="0.75" top="1" bottom="1" header="0.5" footer="0.5"/>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Pr codeName="Chart6">
    <tabColor indexed="11"/>
  </sheetPr>
  <sheetViews>
    <sheetView workbookViewId="0" zoomScale="93"/>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hyperlink" Target="#'Spreading Cost ($ per hr)'!A1" /></Relationships>
</file>

<file path=xl/drawings/_rels/drawing2.xml.rels><?xml version="1.0" encoding="utf-8" standalone="yes"?><Relationships xmlns="http://schemas.openxmlformats.org/package/2006/relationships"><Relationship Id="rId1" Type="http://schemas.openxmlformats.org/officeDocument/2006/relationships/hyperlink" Target="#'Manure Value'!A1" /><Relationship Id="rId2" Type="http://schemas.openxmlformats.org/officeDocument/2006/relationships/hyperlink" Target="#'Additional Fields'!A1" /></Relationships>
</file>

<file path=xl/drawings/_rels/drawing3.xml.rels><?xml version="1.0" encoding="utf-8" standalone="yes"?><Relationships xmlns="http://schemas.openxmlformats.org/package/2006/relationships"><Relationship Id="rId1" Type="http://schemas.openxmlformats.org/officeDocument/2006/relationships/hyperlink" Target="#'Spreading Cost ($ per hr)'!A1" /></Relationships>
</file>

<file path=xl/drawings/_rels/drawing4.xml.rels><?xml version="1.0" encoding="utf-8" standalone="yes"?><Relationships xmlns="http://schemas.openxmlformats.org/package/2006/relationships"><Relationship Id="rId1" Type="http://schemas.openxmlformats.org/officeDocument/2006/relationships/hyperlink" Target="#'Typical Manure Analysis'!A1" /><Relationship Id="rId2" Type="http://schemas.openxmlformats.org/officeDocument/2006/relationships/hyperlink" Target="#'Nitrogen Availability'!A1" /><Relationship Id="rId3" Type="http://schemas.openxmlformats.org/officeDocument/2006/relationships/hyperlink" Target="#'Spreading Cost ($ per hr)'!A1"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hyperlink" Target="#'Manure Value'!A1" /></Relationships>
</file>

<file path=xl/drawings/_rels/drawing8.xml.rels><?xml version="1.0" encoding="utf-8" standalone="yes"?><Relationships xmlns="http://schemas.openxmlformats.org/package/2006/relationships"><Relationship Id="rId1" Type="http://schemas.openxmlformats.org/officeDocument/2006/relationships/hyperlink" Target="#'Manure Valu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xdr:row>
      <xdr:rowOff>19050</xdr:rowOff>
    </xdr:from>
    <xdr:to>
      <xdr:col>12</xdr:col>
      <xdr:colOff>76200</xdr:colOff>
      <xdr:row>25</xdr:row>
      <xdr:rowOff>95250</xdr:rowOff>
    </xdr:to>
    <xdr:sp>
      <xdr:nvSpPr>
        <xdr:cNvPr id="1" name="TextBox 1"/>
        <xdr:cNvSpPr txBox="1">
          <a:spLocks noChangeArrowheads="1"/>
        </xdr:cNvSpPr>
      </xdr:nvSpPr>
      <xdr:spPr>
        <a:xfrm>
          <a:off x="657225" y="180975"/>
          <a:ext cx="6734175" cy="3962400"/>
        </a:xfrm>
        <a:prstGeom prst="rect">
          <a:avLst/>
        </a:prstGeom>
        <a:solidFill>
          <a:srgbClr val="FFFFFF"/>
        </a:solidFill>
        <a:ln w="9525" cmpd="sng">
          <a:solidFill>
            <a:srgbClr val="BCBCBC"/>
          </a:solidFill>
          <a:headEnd type="none"/>
          <a:tailEnd type="none"/>
        </a:ln>
      </xdr:spPr>
      <xdr:txBody>
        <a:bodyPr vertOverflow="clip" wrap="square"/>
        <a:p>
          <a:pPr algn="just">
            <a:defRPr/>
          </a:pPr>
          <a:r>
            <a:rPr lang="en-US" cap="none" sz="1100" b="0" i="0" u="none" baseline="0">
              <a:solidFill>
                <a:srgbClr val="000000"/>
              </a:solidFill>
              <a:latin typeface="Calibri"/>
              <a:ea typeface="Calibri"/>
              <a:cs typeface="Calibri"/>
            </a:rPr>
            <a:t>MHaulCo$T is </a:t>
          </a:r>
          <a:r>
            <a:rPr lang="en-US" cap="none" sz="1100" b="1" i="0" u="none" baseline="0">
              <a:solidFill>
                <a:srgbClr val="000000"/>
              </a:solidFill>
              <a:latin typeface="Calibri"/>
              <a:ea typeface="Calibri"/>
              <a:cs typeface="Calibri"/>
            </a:rPr>
            <a:t>not intended to replace</a:t>
          </a:r>
          <a:r>
            <a:rPr lang="en-US" cap="none" sz="1100" b="0" i="0" u="none" baseline="0">
              <a:solidFill>
                <a:srgbClr val="000000"/>
              </a:solidFill>
              <a:latin typeface="Calibri"/>
              <a:ea typeface="Calibri"/>
              <a:cs typeface="Calibri"/>
            </a:rPr>
            <a:t> a well developed Nutrient management plan.  Instead, farmers should use this budgeting program along with a nutrient balancing program (such as FertiPlan) to develop manure spreading strategies.  Farmers would use MHaulCo$T to determine the fields that fall within the breakeven hauling radius, which should be balanced first using the available manure.  Spreading manure on these fields instead of chemical fertilizers would result in cost savings.  Spreading manure beyond the breakeven radius could provide environmental, communal, and agronomic benefits that may be harder to justify financially.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key assumptions of MHaulCo$T are as follows:
</a:t>
          </a:r>
          <a:r>
            <a:rPr lang="en-US" cap="none" sz="1100" b="0" i="0" u="none" baseline="0">
              <a:solidFill>
                <a:srgbClr val="000000"/>
              </a:solidFill>
              <a:latin typeface="Calibri"/>
              <a:ea typeface="Calibri"/>
              <a:cs typeface="Calibri"/>
            </a:rPr>
            <a:t>•  The farm has to spread the manure, and it would cost the same ($/hr) to apply the manure on any field (i.e. the hourly in-field application cost does not vary between fields).
</a:t>
          </a:r>
          <a:r>
            <a:rPr lang="en-US" cap="none" sz="1100" b="0" i="0" u="none" baseline="0">
              <a:solidFill>
                <a:srgbClr val="000000"/>
              </a:solidFill>
              <a:latin typeface="Calibri"/>
              <a:ea typeface="Calibri"/>
              <a:cs typeface="Calibri"/>
            </a:rPr>
            <a:t>• The manure is valued  on a fertilizer equivalent basis for the current crop year (nitrogen, phosphate, and potash), as this is the alternate nutrient application.  The value of the micronutrients, organic matter, and future organic-N credits are not included in the value of the manure.  Due to this, the manure is likely worth more to the crops per unit applied, than calculated by MHaulCo$T.
</a:t>
          </a:r>
          <a:r>
            <a:rPr lang="en-US" cap="none" sz="1100" b="0" i="0" u="none" baseline="0">
              <a:solidFill>
                <a:srgbClr val="000000"/>
              </a:solidFill>
              <a:latin typeface="Calibri"/>
              <a:ea typeface="Calibri"/>
              <a:cs typeface="Calibri"/>
            </a:rPr>
            <a:t>• The manure spreading equipment is only used to apply manure. All ownership and operating costs for this equipment are allocated to manure application.
</a:t>
          </a:r>
          <a:r>
            <a:rPr lang="en-US" cap="none" sz="1100" b="0" i="0" u="none" baseline="0">
              <a:solidFill>
                <a:srgbClr val="000000"/>
              </a:solidFill>
              <a:latin typeface="Calibri"/>
              <a:ea typeface="Calibri"/>
              <a:cs typeface="Calibri"/>
            </a:rPr>
            <a:t>•  The tractor ownership and operating costs are prorated for the number of hours spent spreading manure, and only those costs incurred due to manure application are included.
</a:t>
          </a:r>
        </a:p>
      </xdr:txBody>
    </xdr:sp>
    <xdr:clientData/>
  </xdr:twoCellAnchor>
  <xdr:oneCellAnchor>
    <xdr:from>
      <xdr:col>4</xdr:col>
      <xdr:colOff>561975</xdr:colOff>
      <xdr:row>26</xdr:row>
      <xdr:rowOff>47625</xdr:rowOff>
    </xdr:from>
    <xdr:ext cx="1438275" cy="438150"/>
    <xdr:sp>
      <xdr:nvSpPr>
        <xdr:cNvPr id="2" name="TextBox 5">
          <a:hlinkClick r:id="rId1"/>
        </xdr:cNvPr>
        <xdr:cNvSpPr txBox="1">
          <a:spLocks noChangeArrowheads="1"/>
        </xdr:cNvSpPr>
      </xdr:nvSpPr>
      <xdr:spPr>
        <a:xfrm>
          <a:off x="3000375" y="4257675"/>
          <a:ext cx="1438275" cy="438150"/>
        </a:xfrm>
        <a:prstGeom prst="rect">
          <a:avLst/>
        </a:prstGeom>
        <a:solidFill>
          <a:srgbClr val="4F81BD"/>
        </a:solidFill>
        <a:ln w="9525" cmpd="sng">
          <a:solidFill>
            <a:srgbClr val="BCBCBC"/>
          </a:solidFill>
          <a:headEnd type="none"/>
          <a:tailEnd type="none"/>
        </a:ln>
      </xdr:spPr>
      <xdr:txBody>
        <a:bodyPr vertOverflow="clip" wrap="square" anchor="ctr"/>
        <a:p>
          <a:pPr algn="ctr">
            <a:defRPr/>
          </a:pPr>
          <a:r>
            <a:rPr lang="en-US" cap="none" sz="1100" b="1" i="0" u="none" baseline="0">
              <a:solidFill>
                <a:srgbClr val="000000"/>
              </a:solidFill>
            </a:rPr>
            <a:t>START</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657225</xdr:colOff>
      <xdr:row>20</xdr:row>
      <xdr:rowOff>85725</xdr:rowOff>
    </xdr:from>
    <xdr:ext cx="1352550" cy="266700"/>
    <xdr:sp>
      <xdr:nvSpPr>
        <xdr:cNvPr id="1" name="TextBox 1">
          <a:hlinkClick r:id="rId1"/>
        </xdr:cNvPr>
        <xdr:cNvSpPr txBox="1">
          <a:spLocks noChangeArrowheads="1"/>
        </xdr:cNvSpPr>
      </xdr:nvSpPr>
      <xdr:spPr>
        <a:xfrm>
          <a:off x="4657725" y="3419475"/>
          <a:ext cx="1352550" cy="266700"/>
        </a:xfrm>
        <a:prstGeom prst="rect">
          <a:avLst/>
        </a:prstGeom>
        <a:solidFill>
          <a:srgbClr val="4F81BD"/>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rPr>
            <a:t>Manure Value</a:t>
          </a:r>
        </a:p>
      </xdr:txBody>
    </xdr:sp>
    <xdr:clientData/>
  </xdr:oneCellAnchor>
  <xdr:oneCellAnchor>
    <xdr:from>
      <xdr:col>4</xdr:col>
      <xdr:colOff>647700</xdr:colOff>
      <xdr:row>16</xdr:row>
      <xdr:rowOff>0</xdr:rowOff>
    </xdr:from>
    <xdr:ext cx="1352550" cy="266700"/>
    <xdr:sp>
      <xdr:nvSpPr>
        <xdr:cNvPr id="2" name="TextBox 1">
          <a:hlinkClick r:id="rId2"/>
        </xdr:cNvPr>
        <xdr:cNvSpPr txBox="1">
          <a:spLocks noChangeArrowheads="1"/>
        </xdr:cNvSpPr>
      </xdr:nvSpPr>
      <xdr:spPr>
        <a:xfrm>
          <a:off x="4648200" y="2657475"/>
          <a:ext cx="1352550" cy="266700"/>
        </a:xfrm>
        <a:prstGeom prst="rect">
          <a:avLst/>
        </a:prstGeom>
        <a:solidFill>
          <a:srgbClr val="4F81BD"/>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rPr>
            <a:t>Additional Fields</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447675</xdr:colOff>
      <xdr:row>2</xdr:row>
      <xdr:rowOff>152400</xdr:rowOff>
    </xdr:from>
    <xdr:ext cx="1438275" cy="438150"/>
    <xdr:sp>
      <xdr:nvSpPr>
        <xdr:cNvPr id="1" name="TextBox 5">
          <a:hlinkClick r:id="rId1"/>
        </xdr:cNvPr>
        <xdr:cNvSpPr txBox="1">
          <a:spLocks noChangeArrowheads="1"/>
        </xdr:cNvSpPr>
      </xdr:nvSpPr>
      <xdr:spPr>
        <a:xfrm>
          <a:off x="4057650" y="485775"/>
          <a:ext cx="1438275" cy="438150"/>
        </a:xfrm>
        <a:prstGeom prst="rect">
          <a:avLst/>
        </a:prstGeom>
        <a:solidFill>
          <a:srgbClr val="4F81BD"/>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rPr>
            <a:t>Return to Spreading Cost ($ per hr)</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9525</xdr:colOff>
      <xdr:row>18</xdr:row>
      <xdr:rowOff>57150</xdr:rowOff>
    </xdr:from>
    <xdr:ext cx="1352550" cy="457200"/>
    <xdr:sp>
      <xdr:nvSpPr>
        <xdr:cNvPr id="1" name="TextBox 3">
          <a:hlinkClick r:id="rId1"/>
        </xdr:cNvPr>
        <xdr:cNvSpPr txBox="1">
          <a:spLocks noChangeArrowheads="1"/>
        </xdr:cNvSpPr>
      </xdr:nvSpPr>
      <xdr:spPr>
        <a:xfrm>
          <a:off x="5486400" y="3086100"/>
          <a:ext cx="1352550" cy="457200"/>
        </a:xfrm>
        <a:prstGeom prst="rect">
          <a:avLst/>
        </a:prstGeom>
        <a:solidFill>
          <a:srgbClr val="4F81BD"/>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Typical Manure
</a:t>
          </a:r>
          <a:r>
            <a:rPr lang="en-US" cap="none" sz="1100" b="0" i="0" u="none" baseline="0">
              <a:solidFill>
                <a:srgbClr val="000000"/>
              </a:solidFill>
              <a:latin typeface="Calibri"/>
              <a:ea typeface="Calibri"/>
              <a:cs typeface="Calibri"/>
            </a:rPr>
            <a:t>Analysis</a:t>
          </a:r>
        </a:p>
      </xdr:txBody>
    </xdr:sp>
    <xdr:clientData/>
  </xdr:oneCellAnchor>
  <xdr:oneCellAnchor>
    <xdr:from>
      <xdr:col>6</xdr:col>
      <xdr:colOff>9525</xdr:colOff>
      <xdr:row>21</xdr:row>
      <xdr:rowOff>152400</xdr:rowOff>
    </xdr:from>
    <xdr:ext cx="1323975" cy="438150"/>
    <xdr:sp>
      <xdr:nvSpPr>
        <xdr:cNvPr id="2" name="TextBox 4">
          <a:hlinkClick r:id="rId2"/>
        </xdr:cNvPr>
        <xdr:cNvSpPr txBox="1">
          <a:spLocks noChangeArrowheads="1"/>
        </xdr:cNvSpPr>
      </xdr:nvSpPr>
      <xdr:spPr>
        <a:xfrm>
          <a:off x="5486400" y="3714750"/>
          <a:ext cx="1323975" cy="438150"/>
        </a:xfrm>
        <a:prstGeom prst="rect">
          <a:avLst/>
        </a:prstGeom>
        <a:solidFill>
          <a:srgbClr val="4F81BD"/>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rPr>
            <a:t>Nitrogen Availability</a:t>
          </a:r>
        </a:p>
      </xdr:txBody>
    </xdr:sp>
    <xdr:clientData/>
  </xdr:oneCellAnchor>
  <xdr:oneCellAnchor>
    <xdr:from>
      <xdr:col>5</xdr:col>
      <xdr:colOff>609600</xdr:colOff>
      <xdr:row>7</xdr:row>
      <xdr:rowOff>76200</xdr:rowOff>
    </xdr:from>
    <xdr:ext cx="1438275" cy="542925"/>
    <xdr:sp>
      <xdr:nvSpPr>
        <xdr:cNvPr id="3" name="TextBox 5">
          <a:hlinkClick r:id="rId3"/>
        </xdr:cNvPr>
        <xdr:cNvSpPr txBox="1">
          <a:spLocks noChangeArrowheads="1"/>
        </xdr:cNvSpPr>
      </xdr:nvSpPr>
      <xdr:spPr>
        <a:xfrm>
          <a:off x="5467350" y="1257300"/>
          <a:ext cx="1438275" cy="542925"/>
        </a:xfrm>
        <a:prstGeom prst="rect">
          <a:avLst/>
        </a:prstGeom>
        <a:solidFill>
          <a:srgbClr val="4F81BD"/>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rPr>
            <a:t>Return to Spreading Cost ($ per hr)</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150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447675</xdr:colOff>
      <xdr:row>3</xdr:row>
      <xdr:rowOff>76200</xdr:rowOff>
    </xdr:from>
    <xdr:ext cx="1419225" cy="466725"/>
    <xdr:sp>
      <xdr:nvSpPr>
        <xdr:cNvPr id="1" name="TextBox 3">
          <a:hlinkClick r:id="rId1"/>
        </xdr:cNvPr>
        <xdr:cNvSpPr txBox="1">
          <a:spLocks noChangeArrowheads="1"/>
        </xdr:cNvSpPr>
      </xdr:nvSpPr>
      <xdr:spPr>
        <a:xfrm>
          <a:off x="8029575" y="581025"/>
          <a:ext cx="1419225" cy="466725"/>
        </a:xfrm>
        <a:prstGeom prst="rect">
          <a:avLst/>
        </a:prstGeom>
        <a:solidFill>
          <a:srgbClr val="4F81BD"/>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rPr>
            <a:t>Return to Manure Value</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590550</xdr:colOff>
      <xdr:row>5</xdr:row>
      <xdr:rowOff>114300</xdr:rowOff>
    </xdr:from>
    <xdr:ext cx="1419225" cy="466725"/>
    <xdr:sp>
      <xdr:nvSpPr>
        <xdr:cNvPr id="1" name="TextBox 3">
          <a:hlinkClick r:id="rId1"/>
        </xdr:cNvPr>
        <xdr:cNvSpPr txBox="1">
          <a:spLocks noChangeArrowheads="1"/>
        </xdr:cNvSpPr>
      </xdr:nvSpPr>
      <xdr:spPr>
        <a:xfrm>
          <a:off x="6581775" y="942975"/>
          <a:ext cx="1419225" cy="466725"/>
        </a:xfrm>
        <a:prstGeom prst="rect">
          <a:avLst/>
        </a:prstGeom>
        <a:solidFill>
          <a:srgbClr val="4F81BD"/>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rPr>
            <a:t>Return to Manure Value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43"/>
  </sheetPr>
  <dimension ref="A1:A1"/>
  <sheetViews>
    <sheetView tabSelected="1" zoomScalePageLayoutView="0" workbookViewId="0" topLeftCell="A1">
      <selection activeCell="H38" sqref="H38"/>
    </sheetView>
  </sheetViews>
  <sheetFormatPr defaultColWidth="9.140625" defaultRowHeight="12.75"/>
  <sheetData/>
  <sheetProtection sheet="1" objects="1" scenarios="1"/>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indexed="43"/>
  </sheetPr>
  <dimension ref="A1:H29"/>
  <sheetViews>
    <sheetView zoomScalePageLayoutView="0" workbookViewId="0" topLeftCell="A1">
      <selection activeCell="K22" sqref="K22"/>
    </sheetView>
  </sheetViews>
  <sheetFormatPr defaultColWidth="9.140625" defaultRowHeight="12.75"/>
  <cols>
    <col min="1" max="1" width="33.28125" style="0" customWidth="1"/>
    <col min="3" max="3" width="9.421875" style="0" bestFit="1" customWidth="1"/>
    <col min="4" max="4" width="8.140625" style="0" customWidth="1"/>
    <col min="5" max="5" width="31.7109375" style="0" bestFit="1" customWidth="1"/>
    <col min="6" max="6" width="9.28125" style="0" bestFit="1" customWidth="1"/>
  </cols>
  <sheetData>
    <row r="1" ht="12.75">
      <c r="A1" s="25" t="s">
        <v>92</v>
      </c>
    </row>
    <row r="2" spans="1:7" ht="13.5" thickBot="1">
      <c r="A2" s="106" t="s">
        <v>60</v>
      </c>
      <c r="B2" s="106"/>
      <c r="C2" s="106"/>
      <c r="D2" s="5"/>
      <c r="E2" s="30"/>
      <c r="F2" s="30"/>
      <c r="G2" s="30"/>
    </row>
    <row r="3" spans="1:6" ht="12.75">
      <c r="A3" s="54"/>
      <c r="B3" s="55" t="s">
        <v>4</v>
      </c>
      <c r="C3" s="55" t="s">
        <v>5</v>
      </c>
      <c r="D3" s="4"/>
      <c r="E3" s="25" t="s">
        <v>9</v>
      </c>
      <c r="F3" s="49">
        <v>12.5</v>
      </c>
    </row>
    <row r="4" spans="1:6" ht="12.75">
      <c r="A4" s="51" t="s">
        <v>6</v>
      </c>
      <c r="B4" s="47">
        <v>0</v>
      </c>
      <c r="C4" s="47">
        <v>0</v>
      </c>
      <c r="D4" s="4"/>
      <c r="E4" s="25" t="s">
        <v>10</v>
      </c>
      <c r="F4" s="49">
        <v>1</v>
      </c>
    </row>
    <row r="5" spans="1:6" ht="12.75">
      <c r="A5" s="51" t="s">
        <v>81</v>
      </c>
      <c r="B5" s="48">
        <v>0</v>
      </c>
      <c r="C5" s="48">
        <v>0</v>
      </c>
      <c r="D5" s="4"/>
      <c r="E5" s="71" t="s">
        <v>71</v>
      </c>
      <c r="F5" s="50">
        <v>0.1</v>
      </c>
    </row>
    <row r="6" spans="1:6" ht="12.75">
      <c r="A6" s="51" t="s">
        <v>113</v>
      </c>
      <c r="B6" s="48">
        <v>0</v>
      </c>
      <c r="C6" s="48">
        <v>0</v>
      </c>
      <c r="D6" s="4"/>
      <c r="E6" s="25" t="s">
        <v>72</v>
      </c>
      <c r="F6" s="48">
        <v>0</v>
      </c>
    </row>
    <row r="7" spans="1:4" ht="12.75">
      <c r="A7" s="51" t="s">
        <v>7</v>
      </c>
      <c r="B7" s="48">
        <v>0</v>
      </c>
      <c r="C7" s="4"/>
      <c r="D7" s="4"/>
    </row>
    <row r="8" spans="1:8" ht="12.75">
      <c r="A8" s="51" t="s">
        <v>93</v>
      </c>
      <c r="B8" s="4"/>
      <c r="C8" s="48">
        <v>0</v>
      </c>
      <c r="D8" s="45"/>
      <c r="E8" s="28"/>
      <c r="F8" s="28"/>
      <c r="G8" s="28"/>
      <c r="H8" s="28"/>
    </row>
    <row r="9" spans="1:8" ht="13.5" thickBot="1">
      <c r="A9" s="51" t="s">
        <v>31</v>
      </c>
      <c r="B9" s="91">
        <f>IF($B$7&lt;80,((0.981-(0.093*($B$5^0.5))-(0.0058*($B$6^0.5)))^2),(IF($B$7&gt;150,((0.976-(0.119*($B$5^0.5))-(0.0019*($B$6^0.5)))^2),((0.942-(0.1*($B$5^0.5))-(0.0008*($B$6^0.5)))^2))))</f>
        <v>0.962361</v>
      </c>
      <c r="C9" s="91">
        <f>(0.943-(0.111*($C$5^0.5))-(0*($C$6^0.5)))^2</f>
        <v>0.889249</v>
      </c>
      <c r="D9" s="45"/>
      <c r="F9" s="28"/>
      <c r="G9" s="28"/>
      <c r="H9" s="28"/>
    </row>
    <row r="10" spans="1:8" ht="12.75">
      <c r="A10" s="51"/>
      <c r="B10" s="4"/>
      <c r="C10" s="4"/>
      <c r="D10" s="45"/>
      <c r="E10" s="104" t="s">
        <v>75</v>
      </c>
      <c r="F10" s="105"/>
      <c r="G10" s="28"/>
      <c r="H10" s="28"/>
    </row>
    <row r="11" spans="1:8" ht="12.75">
      <c r="A11" s="51" t="s">
        <v>8</v>
      </c>
      <c r="B11" s="44">
        <f>_xlfn.IFERROR((($B$4-($B$4*$B$9))/$B$5)*($C$6/$B$6),0)</f>
        <v>0</v>
      </c>
      <c r="C11" s="44">
        <f>_xlfn.IFERROR(($C$4-($C$4*$C$9))/$C$5,0)</f>
        <v>0</v>
      </c>
      <c r="D11" s="45"/>
      <c r="E11" s="52" t="s">
        <v>96</v>
      </c>
      <c r="F11" s="81">
        <f>'Additional Fields'!B3</f>
        <v>0</v>
      </c>
      <c r="G11" s="30"/>
      <c r="H11" s="28"/>
    </row>
    <row r="12" spans="1:8" ht="12.75">
      <c r="A12" s="51" t="s">
        <v>16</v>
      </c>
      <c r="B12" s="44">
        <f>_xlfn.IFERROR(((($B$4+($B$4*$B$9))/2)*$F$5)*($C$6/$B$6),0)</f>
        <v>0</v>
      </c>
      <c r="C12" s="44">
        <f>(($C$4+($C$4*$C$9))/2)*$F$5</f>
        <v>0</v>
      </c>
      <c r="D12" s="45"/>
      <c r="E12" s="52" t="s">
        <v>94</v>
      </c>
      <c r="F12" s="92">
        <f>'Additional Fields'!B4</f>
        <v>0</v>
      </c>
      <c r="G12" s="28"/>
      <c r="H12" s="28"/>
    </row>
    <row r="13" spans="1:8" ht="13.5" thickBot="1">
      <c r="A13" s="51" t="s">
        <v>11</v>
      </c>
      <c r="B13" s="46">
        <f>SUM(B11:B12)</f>
        <v>0</v>
      </c>
      <c r="C13" s="46">
        <f>SUM(C11:C12)</f>
        <v>0</v>
      </c>
      <c r="D13" s="45"/>
      <c r="E13" s="61"/>
      <c r="F13" s="79"/>
      <c r="G13" s="29"/>
      <c r="H13" s="28"/>
    </row>
    <row r="14" spans="1:8" ht="14.25" thickBot="1" thickTop="1">
      <c r="A14" s="51"/>
      <c r="B14" s="44"/>
      <c r="C14" s="44"/>
      <c r="D14" s="45"/>
      <c r="E14" s="52" t="s">
        <v>116</v>
      </c>
      <c r="F14" s="82">
        <f>'Additional Fields'!B6</f>
        <v>0</v>
      </c>
      <c r="G14" s="30"/>
      <c r="H14" s="28"/>
    </row>
    <row r="15" spans="1:8" ht="14.25" thickBot="1" thickTop="1">
      <c r="A15" s="51" t="s">
        <v>13</v>
      </c>
      <c r="B15" s="44">
        <f>_xlfn.IFERROR(((0.007*$B$4*($B$5*$B$6/1000)^2)/$B$5)*($C$6/$B$6),0)</f>
        <v>0</v>
      </c>
      <c r="C15" s="44">
        <f>_xlfn.IFERROR((0.22*$C$4*($C$5*$C$6/1000)^1.8)/$C$5,0)</f>
        <v>0</v>
      </c>
      <c r="D15" s="45"/>
      <c r="E15" s="53" t="s">
        <v>117</v>
      </c>
      <c r="F15" s="36"/>
      <c r="G15" s="28"/>
      <c r="H15" s="28"/>
    </row>
    <row r="16" spans="1:8" ht="12.75">
      <c r="A16" s="51" t="s">
        <v>12</v>
      </c>
      <c r="B16" s="44">
        <f>1.15*$F$4*0.73*0.305*$B$7*$C$6</f>
        <v>0</v>
      </c>
      <c r="C16" s="44"/>
      <c r="D16" s="45"/>
      <c r="G16" s="28"/>
      <c r="H16" s="28"/>
    </row>
    <row r="17" spans="1:8" ht="12.75">
      <c r="A17" s="51" t="s">
        <v>14</v>
      </c>
      <c r="B17" s="44">
        <f>1.1*$C$6*$F$3</f>
        <v>0</v>
      </c>
      <c r="C17" s="44"/>
      <c r="D17" s="45"/>
      <c r="E17" s="30"/>
      <c r="F17" s="28"/>
      <c r="G17" s="28"/>
      <c r="H17" s="28"/>
    </row>
    <row r="18" spans="1:8" ht="13.5" thickBot="1">
      <c r="A18" s="51" t="s">
        <v>85</v>
      </c>
      <c r="B18" s="46">
        <f>SUM(B15:B17)</f>
        <v>0</v>
      </c>
      <c r="C18" s="46">
        <f>SUM(C15:C17)</f>
        <v>0</v>
      </c>
      <c r="D18" s="45"/>
      <c r="E18" s="11"/>
      <c r="F18" s="11"/>
      <c r="G18" s="11"/>
      <c r="H18" s="11"/>
    </row>
    <row r="19" spans="1:8" ht="13.5" thickTop="1">
      <c r="A19" s="51"/>
      <c r="B19" s="3"/>
      <c r="C19" s="3"/>
      <c r="D19" s="45"/>
      <c r="E19" s="11"/>
      <c r="F19" s="11"/>
      <c r="G19" s="11"/>
      <c r="H19" s="11"/>
    </row>
    <row r="20" spans="1:8" ht="13.5" thickBot="1">
      <c r="A20" s="51" t="s">
        <v>15</v>
      </c>
      <c r="B20" s="46">
        <f>$B13+$B18</f>
        <v>0</v>
      </c>
      <c r="C20" s="46">
        <f>$C13+$C18</f>
        <v>0</v>
      </c>
      <c r="D20" s="45"/>
      <c r="E20" s="11"/>
      <c r="F20" s="11"/>
      <c r="G20" s="11"/>
      <c r="H20" s="11"/>
    </row>
    <row r="21" spans="1:8" ht="13.5" thickTop="1">
      <c r="A21" s="51"/>
      <c r="B21" s="4"/>
      <c r="C21" s="4"/>
      <c r="D21" s="45"/>
      <c r="E21" s="11"/>
      <c r="F21" s="11"/>
      <c r="G21" s="11"/>
      <c r="H21" s="11"/>
    </row>
    <row r="22" spans="1:4" ht="12.75">
      <c r="A22" s="51" t="s">
        <v>62</v>
      </c>
      <c r="B22" s="44">
        <f>_xlfn.IFERROR($B$20/$C$6,0)</f>
        <v>0</v>
      </c>
      <c r="C22" s="44">
        <f>_xlfn.IFERROR($C$20/$C$6,0)</f>
        <v>0</v>
      </c>
      <c r="D22" s="4"/>
    </row>
    <row r="23" spans="1:4" ht="13.5" thickBot="1">
      <c r="A23" s="51" t="s">
        <v>63</v>
      </c>
      <c r="B23" s="4"/>
      <c r="C23" s="46">
        <f>$B22+$C22</f>
        <v>0</v>
      </c>
      <c r="D23" s="4"/>
    </row>
    <row r="24" spans="1:4" ht="13.5" thickTop="1">
      <c r="A24" s="51"/>
      <c r="B24" s="4"/>
      <c r="C24" s="3"/>
      <c r="D24" s="4"/>
    </row>
    <row r="25" spans="1:4" ht="13.5" thickBot="1">
      <c r="A25" s="106" t="s">
        <v>61</v>
      </c>
      <c r="B25" s="106"/>
      <c r="C25" s="106"/>
      <c r="D25" s="4"/>
    </row>
    <row r="26" spans="1:4" ht="12.75">
      <c r="A26" s="64"/>
      <c r="B26" s="64"/>
      <c r="C26" s="64"/>
      <c r="D26" s="4"/>
    </row>
    <row r="27" spans="1:4" ht="13.5" thickBot="1">
      <c r="A27" s="51" t="s">
        <v>95</v>
      </c>
      <c r="B27" s="4"/>
      <c r="C27" s="80">
        <v>0</v>
      </c>
      <c r="D27" s="4"/>
    </row>
    <row r="28" ht="13.5" thickTop="1">
      <c r="A28" s="25" t="s">
        <v>111</v>
      </c>
    </row>
    <row r="29" ht="12.75">
      <c r="A29" s="61" t="s">
        <v>112</v>
      </c>
    </row>
  </sheetData>
  <sheetProtection sheet="1"/>
  <mergeCells count="3">
    <mergeCell ref="E10:F10"/>
    <mergeCell ref="A2:C2"/>
    <mergeCell ref="A25:C25"/>
  </mergeCells>
  <printOptions/>
  <pageMargins left="0.75" right="0.75" top="1" bottom="1" header="0.5" footer="0.5"/>
  <pageSetup horizontalDpi="300" verticalDpi="300" orientation="landscape" r:id="rId2"/>
  <drawing r:id="rId1"/>
</worksheet>
</file>

<file path=xl/worksheets/sheet3.xml><?xml version="1.0" encoding="utf-8"?>
<worksheet xmlns="http://schemas.openxmlformats.org/spreadsheetml/2006/main" xmlns:r="http://schemas.openxmlformats.org/officeDocument/2006/relationships">
  <sheetPr>
    <tabColor indexed="43"/>
  </sheetPr>
  <dimension ref="A2:L16"/>
  <sheetViews>
    <sheetView zoomScalePageLayoutView="0" workbookViewId="0" topLeftCell="A1">
      <selection activeCell="B4" sqref="B4"/>
    </sheetView>
  </sheetViews>
  <sheetFormatPr defaultColWidth="9.140625" defaultRowHeight="12.75"/>
  <cols>
    <col min="1" max="1" width="33.140625" style="0" bestFit="1" customWidth="1"/>
    <col min="2" max="11" width="7.00390625" style="0" bestFit="1" customWidth="1"/>
  </cols>
  <sheetData>
    <row r="1" ht="13.5" thickBot="1"/>
    <row r="2" spans="1:4" ht="12.75">
      <c r="A2" s="104" t="s">
        <v>86</v>
      </c>
      <c r="B2" s="107"/>
      <c r="C2" s="89"/>
      <c r="D2" s="90"/>
    </row>
    <row r="3" spans="1:4" ht="12.75">
      <c r="A3" s="52" t="s">
        <v>96</v>
      </c>
      <c r="B3" s="85">
        <f>B11+C11+D11+E11+F11+G11+H11+I11+J11+K11</f>
        <v>0</v>
      </c>
      <c r="C3" s="30"/>
      <c r="D3" s="34"/>
    </row>
    <row r="4" spans="1:4" ht="12.75">
      <c r="A4" s="52" t="s">
        <v>94</v>
      </c>
      <c r="B4" s="93">
        <f>_xlfn.IFERROR(((B12*B11)+(C12*C11)+(D12*D11)+(E12*E11)+(F12*F11)+(G12*G11)+(H12*H11)+(I12*I11)+(J12*J11)+(K12*K11))/B3,0)</f>
        <v>0</v>
      </c>
      <c r="C4" s="28"/>
      <c r="D4" s="34"/>
    </row>
    <row r="5" spans="1:4" ht="12.75">
      <c r="A5" s="61"/>
      <c r="B5" s="86"/>
      <c r="C5" s="29"/>
      <c r="D5" s="34"/>
    </row>
    <row r="6" spans="1:4" ht="12.75">
      <c r="A6" s="52" t="s">
        <v>114</v>
      </c>
      <c r="B6" s="85">
        <f>_xlfn.IFERROR(B15+C15+D15+E15+F15+G15+H15+I15+J15+K15,0)</f>
        <v>0</v>
      </c>
      <c r="C6" s="30"/>
      <c r="D6" s="34"/>
    </row>
    <row r="7" spans="1:4" ht="13.5" thickBot="1">
      <c r="A7" s="53" t="s">
        <v>115</v>
      </c>
      <c r="B7" s="87"/>
      <c r="C7" s="88"/>
      <c r="D7" s="36"/>
    </row>
    <row r="8" ht="12.75">
      <c r="C8" s="28"/>
    </row>
    <row r="9" ht="12.75">
      <c r="C9" s="28"/>
    </row>
    <row r="10" spans="1:11" ht="12.75">
      <c r="A10" s="25" t="s">
        <v>75</v>
      </c>
      <c r="B10" s="14">
        <v>1</v>
      </c>
      <c r="C10" s="14">
        <v>2</v>
      </c>
      <c r="D10" s="14">
        <v>3</v>
      </c>
      <c r="E10" s="14">
        <v>4</v>
      </c>
      <c r="F10" s="14">
        <v>5</v>
      </c>
      <c r="G10" s="14">
        <v>6</v>
      </c>
      <c r="H10" s="14">
        <v>7</v>
      </c>
      <c r="I10" s="14">
        <v>8</v>
      </c>
      <c r="J10" s="14">
        <v>9</v>
      </c>
      <c r="K10" s="14">
        <v>10</v>
      </c>
    </row>
    <row r="11" spans="1:11" ht="12.75">
      <c r="A11" s="52" t="s">
        <v>87</v>
      </c>
      <c r="B11" s="83">
        <v>0</v>
      </c>
      <c r="C11" s="83">
        <v>0</v>
      </c>
      <c r="D11" s="83">
        <v>0</v>
      </c>
      <c r="E11" s="83">
        <v>0</v>
      </c>
      <c r="F11" s="83">
        <v>0</v>
      </c>
      <c r="G11" s="83">
        <v>0</v>
      </c>
      <c r="H11" s="83">
        <v>0</v>
      </c>
      <c r="I11" s="83">
        <v>0</v>
      </c>
      <c r="J11" s="83">
        <v>0</v>
      </c>
      <c r="K11" s="83">
        <v>0</v>
      </c>
    </row>
    <row r="12" spans="1:11" ht="12.75">
      <c r="A12" s="52" t="s">
        <v>97</v>
      </c>
      <c r="B12" s="83">
        <v>0</v>
      </c>
      <c r="C12" s="83">
        <v>0</v>
      </c>
      <c r="D12" s="83">
        <v>0</v>
      </c>
      <c r="E12" s="83">
        <v>0</v>
      </c>
      <c r="F12" s="83">
        <v>0</v>
      </c>
      <c r="G12" s="83">
        <v>0</v>
      </c>
      <c r="H12" s="83">
        <v>0</v>
      </c>
      <c r="I12" s="83">
        <v>0</v>
      </c>
      <c r="J12" s="83">
        <v>0</v>
      </c>
      <c r="K12" s="83">
        <v>0</v>
      </c>
    </row>
    <row r="13" spans="1:11" ht="12.75">
      <c r="A13" s="73" t="s">
        <v>76</v>
      </c>
      <c r="B13" s="83">
        <v>0</v>
      </c>
      <c r="C13" s="83">
        <v>0</v>
      </c>
      <c r="D13" s="83">
        <v>0</v>
      </c>
      <c r="E13" s="83">
        <v>0</v>
      </c>
      <c r="F13" s="83">
        <v>0</v>
      </c>
      <c r="G13" s="83">
        <v>0</v>
      </c>
      <c r="H13" s="83">
        <v>0</v>
      </c>
      <c r="I13" s="83">
        <v>0</v>
      </c>
      <c r="J13" s="83">
        <v>0</v>
      </c>
      <c r="K13" s="83">
        <v>0</v>
      </c>
    </row>
    <row r="14" spans="1:11" ht="12.75">
      <c r="A14" s="25"/>
      <c r="B14" s="9"/>
      <c r="C14" s="9"/>
      <c r="D14" s="9"/>
      <c r="E14" s="9"/>
      <c r="F14" s="9"/>
      <c r="G14" s="9"/>
      <c r="H14" s="9"/>
      <c r="I14" s="9"/>
      <c r="J14" s="9"/>
      <c r="K14" s="9"/>
    </row>
    <row r="15" spans="1:12" ht="13.5" thickBot="1">
      <c r="A15" s="25" t="s">
        <v>77</v>
      </c>
      <c r="B15" s="78">
        <f>_xlfn.IFERROR(2*B11*B12*B13/'Spreading Cost ($ per hr)'!$F$6,0)</f>
        <v>0</v>
      </c>
      <c r="C15" s="78">
        <f>_xlfn.IFERROR(2*C11*C12*C13/'Spreading Cost ($ per hr)'!$F$6,0)</f>
        <v>0</v>
      </c>
      <c r="D15" s="78">
        <f>_xlfn.IFERROR(2*D11*D12*D13/'Spreading Cost ($ per hr)'!$F$6,0)</f>
        <v>0</v>
      </c>
      <c r="E15" s="78">
        <f>_xlfn.IFERROR(2*E11*E12*E13/'Spreading Cost ($ per hr)'!$F$6,0)</f>
        <v>0</v>
      </c>
      <c r="F15" s="78">
        <f>_xlfn.IFERROR(2*F11*F12*F13/'Spreading Cost ($ per hr)'!$F$6,0)</f>
        <v>0</v>
      </c>
      <c r="G15" s="78">
        <f>_xlfn.IFERROR(2*G11*G12*G13/'Spreading Cost ($ per hr)'!$F$6,0)</f>
        <v>0</v>
      </c>
      <c r="H15" s="78">
        <f>_xlfn.IFERROR(2*H11*H12*H13/'Spreading Cost ($ per hr)'!$F$6,0)</f>
        <v>0</v>
      </c>
      <c r="I15" s="78">
        <f>_xlfn.IFERROR(2*I11*I12*I13/'Spreading Cost ($ per hr)'!$F$6,0)</f>
        <v>0</v>
      </c>
      <c r="J15" s="78">
        <f>_xlfn.IFERROR(2*J11*J12*J13/'Spreading Cost ($ per hr)'!$F$6,0)</f>
        <v>0</v>
      </c>
      <c r="K15" s="78">
        <f>_xlfn.IFERROR(2*K11*K12*K13/'Spreading Cost ($ per hr)'!$F$6,0)</f>
        <v>0</v>
      </c>
      <c r="L15" s="30"/>
    </row>
    <row r="16" spans="2:12" ht="13.5" thickTop="1">
      <c r="B16" s="30"/>
      <c r="C16" s="30"/>
      <c r="D16" s="30"/>
      <c r="E16" s="30"/>
      <c r="F16" s="30"/>
      <c r="G16" s="30"/>
      <c r="H16" s="30"/>
      <c r="I16" s="30"/>
      <c r="J16" s="30"/>
      <c r="K16" s="30"/>
      <c r="L16" s="30"/>
    </row>
  </sheetData>
  <sheetProtection sheet="1" objects="1" scenarios="1"/>
  <mergeCells count="1">
    <mergeCell ref="A2:B2"/>
  </mergeCells>
  <printOptions/>
  <pageMargins left="0.7" right="0.7" top="0.75" bottom="0.75" header="0.3" footer="0.3"/>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tabColor indexed="43"/>
  </sheetPr>
  <dimension ref="A1:G30"/>
  <sheetViews>
    <sheetView zoomScalePageLayoutView="0" workbookViewId="0" topLeftCell="A1">
      <selection activeCell="E27" sqref="E27"/>
    </sheetView>
  </sheetViews>
  <sheetFormatPr defaultColWidth="9.140625" defaultRowHeight="12.75"/>
  <cols>
    <col min="1" max="1" width="28.140625" style="0" customWidth="1"/>
    <col min="2" max="2" width="7.57421875" style="0" customWidth="1"/>
    <col min="3" max="3" width="11.140625" style="0" bestFit="1" customWidth="1"/>
    <col min="4" max="4" width="11.7109375" style="0" customWidth="1"/>
    <col min="5" max="5" width="14.28125" style="0" bestFit="1" customWidth="1"/>
    <col min="6" max="6" width="9.28125" style="0" bestFit="1" customWidth="1"/>
    <col min="7" max="7" width="18.28125" style="0" bestFit="1" customWidth="1"/>
    <col min="8" max="8" width="5.57421875" style="0" bestFit="1" customWidth="1"/>
    <col min="9" max="9" width="7.421875" style="0" bestFit="1" customWidth="1"/>
    <col min="10" max="10" width="6.7109375" style="0" bestFit="1" customWidth="1"/>
    <col min="11" max="11" width="13.28125" style="0" bestFit="1" customWidth="1"/>
  </cols>
  <sheetData>
    <row r="1" ht="13.5" thickBot="1">
      <c r="A1" s="25" t="s">
        <v>98</v>
      </c>
    </row>
    <row r="2" spans="1:7" ht="12.75">
      <c r="A2" s="109" t="s">
        <v>99</v>
      </c>
      <c r="B2" s="110"/>
      <c r="C2" s="110"/>
      <c r="D2" s="110"/>
      <c r="E2" s="111"/>
      <c r="G2" s="51"/>
    </row>
    <row r="3" spans="1:7" ht="15.75">
      <c r="A3" s="52" t="s">
        <v>17</v>
      </c>
      <c r="B3" s="23" t="s">
        <v>58</v>
      </c>
      <c r="C3" s="23" t="s">
        <v>64</v>
      </c>
      <c r="D3" s="23" t="s">
        <v>65</v>
      </c>
      <c r="E3" s="63" t="s">
        <v>19</v>
      </c>
      <c r="G3" s="27"/>
    </row>
    <row r="4" spans="1:5" ht="12.75">
      <c r="A4" s="61" t="s">
        <v>83</v>
      </c>
      <c r="B4" s="41">
        <v>0</v>
      </c>
      <c r="C4" s="41">
        <v>46</v>
      </c>
      <c r="D4" s="41">
        <v>0</v>
      </c>
      <c r="E4" s="59">
        <v>0</v>
      </c>
    </row>
    <row r="5" spans="1:5" ht="12.75">
      <c r="A5" s="61" t="s">
        <v>82</v>
      </c>
      <c r="B5" s="41">
        <v>34</v>
      </c>
      <c r="C5" s="41">
        <v>0</v>
      </c>
      <c r="D5" s="41">
        <v>0</v>
      </c>
      <c r="E5" s="59">
        <v>0</v>
      </c>
    </row>
    <row r="6" spans="1:5" ht="12.75">
      <c r="A6" s="61" t="s">
        <v>18</v>
      </c>
      <c r="B6" s="41">
        <v>0</v>
      </c>
      <c r="C6" s="41">
        <v>0</v>
      </c>
      <c r="D6" s="41">
        <v>60</v>
      </c>
      <c r="E6" s="59">
        <v>0</v>
      </c>
    </row>
    <row r="7" spans="1:5" ht="12.75">
      <c r="A7" s="61"/>
      <c r="B7" s="41"/>
      <c r="C7" s="41"/>
      <c r="D7" s="41"/>
      <c r="E7" s="35"/>
    </row>
    <row r="8" spans="1:5" ht="13.5" thickBot="1">
      <c r="A8" s="62" t="s">
        <v>20</v>
      </c>
      <c r="B8" s="57">
        <f>$E$5/(10*(B5+C5+D5))</f>
        <v>0</v>
      </c>
      <c r="C8" s="57">
        <f>$E$4/(10*(C4+D4+B4))</f>
        <v>0</v>
      </c>
      <c r="D8" s="57">
        <f>$E$6/(10*(B6+C6+D6))</f>
        <v>0</v>
      </c>
      <c r="E8" s="37"/>
    </row>
    <row r="9" spans="1:5" ht="12.75">
      <c r="A9" s="61" t="s">
        <v>100</v>
      </c>
      <c r="B9" s="3"/>
      <c r="C9" s="3"/>
      <c r="D9" s="3"/>
      <c r="E9" s="5"/>
    </row>
    <row r="10" spans="1:5" ht="13.5" thickBot="1">
      <c r="A10" s="4"/>
      <c r="B10" s="4"/>
      <c r="C10" s="4"/>
      <c r="D10" s="4"/>
      <c r="E10" s="4"/>
    </row>
    <row r="11" spans="1:5" ht="12.75">
      <c r="A11" s="112" t="s">
        <v>101</v>
      </c>
      <c r="B11" s="113"/>
      <c r="C11" s="113"/>
      <c r="D11" s="113"/>
      <c r="E11" s="114"/>
    </row>
    <row r="12" spans="1:5" ht="15.75">
      <c r="A12" s="61" t="s">
        <v>17</v>
      </c>
      <c r="B12" s="64" t="s">
        <v>58</v>
      </c>
      <c r="C12" s="64" t="s">
        <v>64</v>
      </c>
      <c r="D12" s="64" t="s">
        <v>65</v>
      </c>
      <c r="E12" s="65" t="s">
        <v>19</v>
      </c>
    </row>
    <row r="13" spans="1:5" ht="12.75">
      <c r="A13" s="84" t="s">
        <v>80</v>
      </c>
      <c r="B13" s="60">
        <v>0</v>
      </c>
      <c r="C13" s="60">
        <v>0</v>
      </c>
      <c r="D13" s="60">
        <v>0</v>
      </c>
      <c r="E13" s="59">
        <v>0</v>
      </c>
    </row>
    <row r="14" spans="1:5" ht="12.75">
      <c r="A14" s="56"/>
      <c r="B14" s="41"/>
      <c r="C14" s="41"/>
      <c r="D14" s="41"/>
      <c r="E14" s="35"/>
    </row>
    <row r="15" spans="1:5" ht="13.5" thickBot="1">
      <c r="A15" s="62" t="s">
        <v>20</v>
      </c>
      <c r="B15" s="57">
        <f>_xlfn.IFERROR(E13/(10*(B13+C13+D13)),0)</f>
        <v>0</v>
      </c>
      <c r="C15" s="57">
        <f>_xlfn.IFERROR(E13/(10*(B13+C13+D13)),0)</f>
        <v>0</v>
      </c>
      <c r="D15" s="57">
        <f>_xlfn.IFERROR(E13/(10*(B13+C13+D13)),0)</f>
        <v>0</v>
      </c>
      <c r="E15" s="37"/>
    </row>
    <row r="16" spans="1:5" ht="12.75">
      <c r="A16" s="73" t="s">
        <v>102</v>
      </c>
      <c r="B16" s="42"/>
      <c r="C16" s="42"/>
      <c r="D16" s="42"/>
      <c r="E16" s="5"/>
    </row>
    <row r="17" spans="1:5" ht="12.75">
      <c r="A17" s="4"/>
      <c r="B17" s="4"/>
      <c r="C17" s="44"/>
      <c r="D17" s="4"/>
      <c r="E17" s="4"/>
    </row>
    <row r="18" spans="1:5" ht="12.75">
      <c r="A18" s="108" t="s">
        <v>103</v>
      </c>
      <c r="B18" s="108"/>
      <c r="C18" s="66" t="s">
        <v>22</v>
      </c>
      <c r="D18" s="66" t="s">
        <v>88</v>
      </c>
      <c r="E18" s="95" t="s">
        <v>121</v>
      </c>
    </row>
    <row r="19" spans="1:6" ht="13.5" thickBot="1">
      <c r="A19" s="67"/>
      <c r="B19" s="67"/>
      <c r="C19" s="67" t="s">
        <v>28</v>
      </c>
      <c r="D19" s="67" t="s">
        <v>84</v>
      </c>
      <c r="E19" s="115" t="s">
        <v>73</v>
      </c>
      <c r="F19" s="115"/>
    </row>
    <row r="20" spans="1:5" ht="12.75">
      <c r="A20" s="51" t="s">
        <v>59</v>
      </c>
      <c r="B20" s="48">
        <v>0</v>
      </c>
      <c r="C20" s="72"/>
      <c r="D20" s="4"/>
      <c r="E20" s="4"/>
    </row>
    <row r="21" spans="1:6" ht="15.75">
      <c r="A21" s="51" t="s">
        <v>66</v>
      </c>
      <c r="B21" s="48">
        <v>0</v>
      </c>
      <c r="C21" s="48">
        <v>0</v>
      </c>
      <c r="D21" s="94">
        <f>$B21/1000*$C21</f>
        <v>0</v>
      </c>
      <c r="E21" s="44">
        <f>_xlfn.IFERROR(IF(B$8=0,(B$15*$D21),(B$8*$D21)),0)</f>
        <v>0</v>
      </c>
      <c r="F21" s="96" t="s">
        <v>23</v>
      </c>
    </row>
    <row r="22" spans="1:6" ht="12.75">
      <c r="A22" s="51" t="s">
        <v>35</v>
      </c>
      <c r="B22" s="72">
        <v>0</v>
      </c>
      <c r="C22" s="48">
        <v>0</v>
      </c>
      <c r="D22" s="4">
        <f>((B20*10)-($B21/1000))*$C22</f>
        <v>0</v>
      </c>
      <c r="E22" s="44">
        <f>_xlfn.IFERROR(IF(B$8=0,(B$15*$D22),(B$8*$D22)),0)</f>
        <v>0</v>
      </c>
      <c r="F22" s="96" t="s">
        <v>23</v>
      </c>
    </row>
    <row r="23" spans="1:6" ht="15.75">
      <c r="A23" s="51" t="s">
        <v>33</v>
      </c>
      <c r="B23" s="48">
        <v>0</v>
      </c>
      <c r="C23" s="4">
        <v>0.4</v>
      </c>
      <c r="D23" s="4">
        <f>$B23*10*2.29*$C23</f>
        <v>0</v>
      </c>
      <c r="E23" s="44">
        <f>_xlfn.IFERROR(IF(C$8=0,(C$15*$D23),(C$8*$D23)),0)</f>
        <v>0</v>
      </c>
      <c r="F23" s="96" t="s">
        <v>122</v>
      </c>
    </row>
    <row r="24" spans="1:6" ht="15.75">
      <c r="A24" s="51" t="s">
        <v>34</v>
      </c>
      <c r="B24" s="48">
        <v>0</v>
      </c>
      <c r="C24" s="4">
        <v>0.9</v>
      </c>
      <c r="D24" s="4">
        <f>$B24*10*1.2*$C24</f>
        <v>0</v>
      </c>
      <c r="E24" s="44">
        <f>_xlfn.IFERROR(IF(D$8=0,(D$15*$D24),(D$8*$D24)),0)</f>
        <v>0</v>
      </c>
      <c r="F24" s="96" t="s">
        <v>123</v>
      </c>
    </row>
    <row r="25" spans="1:5" ht="13.5" thickBot="1">
      <c r="A25" s="51" t="s">
        <v>104</v>
      </c>
      <c r="B25" s="4"/>
      <c r="C25" s="4"/>
      <c r="D25" s="4"/>
      <c r="E25" s="46">
        <f>SUM(E21:E24)</f>
        <v>0</v>
      </c>
    </row>
    <row r="26" spans="1:5" ht="13.5" thickTop="1">
      <c r="A26" s="51"/>
      <c r="B26" s="4"/>
      <c r="C26" s="4"/>
      <c r="D26" s="4"/>
      <c r="E26" s="4"/>
    </row>
    <row r="27" spans="1:5" ht="13.5" thickBot="1">
      <c r="A27" s="51" t="s">
        <v>78</v>
      </c>
      <c r="C27" s="58">
        <f>_xlfn.IFERROR('Manure Value'!E$25*'Spreading Cost ($ per hr)'!F$6*'Spreading Cost ($ per hr)'!C$8/(2*(IF('Spreading Cost ($ per hr)'!C$27=0,'Spreading Cost ($ per hr)'!C$23,'Spreading Cost ($ per hr)'!C$27))),0)</f>
        <v>0</v>
      </c>
      <c r="D27" s="4"/>
      <c r="E27" s="4"/>
    </row>
    <row r="28" spans="1:5" ht="13.5" thickTop="1">
      <c r="A28" s="51"/>
      <c r="C28" s="2"/>
      <c r="D28" s="4"/>
      <c r="E28" s="4"/>
    </row>
    <row r="29" spans="1:5" ht="13.5" thickBot="1">
      <c r="A29" s="51" t="s">
        <v>79</v>
      </c>
      <c r="C29" s="58">
        <f>_xlfn.IFERROR(60*'Manure Value'!E25*'Spreading Cost ($ per hr)'!C8/(2*(IF('Spreading Cost ($ per hr)'!C$27=0,'Spreading Cost ($ per hr)'!C$23,'Spreading Cost ($ per hr)'!C$27))),0)</f>
        <v>0</v>
      </c>
      <c r="D29" s="4"/>
      <c r="E29" s="4"/>
    </row>
    <row r="30" spans="1:5" ht="13.5" thickTop="1">
      <c r="A30" s="4"/>
      <c r="B30" s="4"/>
      <c r="C30" s="4"/>
      <c r="D30" s="4"/>
      <c r="E30" s="4"/>
    </row>
  </sheetData>
  <sheetProtection sheet="1"/>
  <mergeCells count="4">
    <mergeCell ref="A18:B18"/>
    <mergeCell ref="A2:E2"/>
    <mergeCell ref="A11:E11"/>
    <mergeCell ref="E19:F19"/>
  </mergeCells>
  <printOptions/>
  <pageMargins left="0.75" right="0.75" top="1" bottom="1" header="0.5" footer="0.5"/>
  <pageSetup horizontalDpi="300" verticalDpi="300" orientation="landscape" r:id="rId4"/>
  <drawing r:id="rId3"/>
  <legacyDrawing r:id="rId2"/>
</worksheet>
</file>

<file path=xl/worksheets/sheet5.xml><?xml version="1.0" encoding="utf-8"?>
<worksheet xmlns="http://schemas.openxmlformats.org/spreadsheetml/2006/main" xmlns:r="http://schemas.openxmlformats.org/officeDocument/2006/relationships">
  <sheetPr>
    <tabColor indexed="62"/>
  </sheetPr>
  <dimension ref="A2:M25"/>
  <sheetViews>
    <sheetView zoomScalePageLayoutView="0" workbookViewId="0" topLeftCell="A1">
      <selection activeCell="W1" sqref="W1"/>
    </sheetView>
  </sheetViews>
  <sheetFormatPr defaultColWidth="9.140625" defaultRowHeight="12.75"/>
  <cols>
    <col min="1" max="1" width="18.00390625" style="0" customWidth="1"/>
    <col min="2" max="2" width="10.57421875" style="0" customWidth="1"/>
    <col min="3" max="3" width="7.421875" style="0" bestFit="1" customWidth="1"/>
    <col min="4" max="4" width="10.00390625" style="0" bestFit="1" customWidth="1"/>
    <col min="5" max="5" width="6.8515625" style="0" customWidth="1"/>
    <col min="6" max="6" width="6.7109375" style="0" customWidth="1"/>
    <col min="7" max="7" width="6.421875" style="0" customWidth="1"/>
    <col min="9" max="10" width="4.57421875" style="0" bestFit="1" customWidth="1"/>
    <col min="11" max="12" width="10.140625" style="0" bestFit="1" customWidth="1"/>
  </cols>
  <sheetData>
    <row r="2" ht="12.75">
      <c r="A2" s="25" t="s">
        <v>74</v>
      </c>
    </row>
    <row r="3" spans="1:13" ht="14.25">
      <c r="A3" s="13" t="s">
        <v>36</v>
      </c>
      <c r="B3" s="13" t="s">
        <v>37</v>
      </c>
      <c r="C3" s="13" t="s">
        <v>38</v>
      </c>
      <c r="D3" s="13" t="s">
        <v>21</v>
      </c>
      <c r="E3" s="13" t="s">
        <v>44</v>
      </c>
      <c r="F3" s="13" t="s">
        <v>24</v>
      </c>
      <c r="G3" s="13" t="s">
        <v>25</v>
      </c>
      <c r="H3" s="97" t="s">
        <v>124</v>
      </c>
      <c r="I3" s="97" t="s">
        <v>125</v>
      </c>
      <c r="J3" s="97" t="s">
        <v>126</v>
      </c>
      <c r="K3" s="97" t="s">
        <v>127</v>
      </c>
      <c r="L3" s="97" t="s">
        <v>128</v>
      </c>
      <c r="M3" s="97" t="s">
        <v>129</v>
      </c>
    </row>
    <row r="4" spans="1:13" ht="12.75">
      <c r="A4" s="14"/>
      <c r="B4" s="14"/>
      <c r="C4" s="14" t="s">
        <v>39</v>
      </c>
      <c r="D4" s="14" t="s">
        <v>39</v>
      </c>
      <c r="E4" s="14" t="s">
        <v>40</v>
      </c>
      <c r="F4" s="14" t="s">
        <v>39</v>
      </c>
      <c r="G4" s="14" t="s">
        <v>39</v>
      </c>
      <c r="H4" s="14" t="s">
        <v>39</v>
      </c>
      <c r="I4" s="14" t="s">
        <v>39</v>
      </c>
      <c r="J4" s="14" t="s">
        <v>39</v>
      </c>
      <c r="K4" s="14" t="s">
        <v>40</v>
      </c>
      <c r="L4" s="14" t="s">
        <v>40</v>
      </c>
      <c r="M4" s="14" t="s">
        <v>40</v>
      </c>
    </row>
    <row r="5" spans="1:13" ht="17.25">
      <c r="A5" s="9" t="s">
        <v>133</v>
      </c>
      <c r="B5" s="12" t="s">
        <v>41</v>
      </c>
      <c r="C5" s="10">
        <v>0.4</v>
      </c>
      <c r="D5" s="98">
        <f>C5-(E5/10000)</f>
        <v>0.135</v>
      </c>
      <c r="E5" s="99">
        <v>2650</v>
      </c>
      <c r="F5" s="10">
        <v>0.13</v>
      </c>
      <c r="G5" s="10">
        <v>0.17</v>
      </c>
      <c r="H5" s="10">
        <v>0.12</v>
      </c>
      <c r="I5" s="10">
        <v>0.06</v>
      </c>
      <c r="J5" s="10">
        <v>0.06</v>
      </c>
      <c r="K5" s="9">
        <v>85</v>
      </c>
      <c r="L5" s="9">
        <v>30</v>
      </c>
      <c r="M5" s="9">
        <v>22</v>
      </c>
    </row>
    <row r="6" spans="1:13" ht="17.25">
      <c r="A6" s="9" t="s">
        <v>133</v>
      </c>
      <c r="B6" s="12" t="s">
        <v>42</v>
      </c>
      <c r="C6" s="10">
        <v>0.9</v>
      </c>
      <c r="D6" s="100">
        <f>C6-E6/10000</f>
        <v>0.642</v>
      </c>
      <c r="E6" s="99">
        <v>2580</v>
      </c>
      <c r="F6" s="10">
        <v>0.47</v>
      </c>
      <c r="G6" s="10">
        <v>0.56</v>
      </c>
      <c r="H6" s="10" t="s">
        <v>130</v>
      </c>
      <c r="I6" s="10" t="s">
        <v>130</v>
      </c>
      <c r="J6" s="10">
        <v>0.14</v>
      </c>
      <c r="K6" s="9">
        <v>172</v>
      </c>
      <c r="L6" s="9">
        <v>103</v>
      </c>
      <c r="M6" s="9" t="s">
        <v>130</v>
      </c>
    </row>
    <row r="7" spans="1:13" ht="12.75">
      <c r="A7" s="9"/>
      <c r="B7" s="12"/>
      <c r="C7" s="10"/>
      <c r="D7" s="100"/>
      <c r="E7" s="99"/>
      <c r="F7" s="10"/>
      <c r="G7" s="10"/>
      <c r="H7" s="10"/>
      <c r="I7" s="10"/>
      <c r="J7" s="10"/>
      <c r="K7" s="9"/>
      <c r="L7" s="9"/>
      <c r="M7" s="9"/>
    </row>
    <row r="8" spans="1:13" ht="17.25">
      <c r="A8" s="9" t="s">
        <v>134</v>
      </c>
      <c r="B8" s="12" t="s">
        <v>41</v>
      </c>
      <c r="C8" s="10">
        <v>0.36</v>
      </c>
      <c r="D8" s="100">
        <f>C8-E8/10000</f>
        <v>0.207</v>
      </c>
      <c r="E8" s="99">
        <v>1530</v>
      </c>
      <c r="F8" s="10">
        <v>0.09</v>
      </c>
      <c r="G8" s="10">
        <v>0.24</v>
      </c>
      <c r="H8" s="10">
        <v>0.49</v>
      </c>
      <c r="I8" s="10">
        <v>0.14</v>
      </c>
      <c r="J8" s="10">
        <v>0.04</v>
      </c>
      <c r="K8" s="9">
        <v>48</v>
      </c>
      <c r="L8" s="9">
        <v>17</v>
      </c>
      <c r="M8" s="9">
        <v>40</v>
      </c>
    </row>
    <row r="9" spans="1:13" ht="17.25">
      <c r="A9" s="9" t="s">
        <v>134</v>
      </c>
      <c r="B9" s="12" t="s">
        <v>42</v>
      </c>
      <c r="C9" s="10">
        <v>0.61</v>
      </c>
      <c r="D9" s="100">
        <f>C9-E9/10000</f>
        <v>0.482</v>
      </c>
      <c r="E9" s="99">
        <v>1280</v>
      </c>
      <c r="F9" s="10">
        <v>0.17</v>
      </c>
      <c r="G9" s="10">
        <v>0.5</v>
      </c>
      <c r="H9" s="10">
        <v>1.54</v>
      </c>
      <c r="I9" s="10">
        <v>0.36</v>
      </c>
      <c r="J9" s="10">
        <v>0.08</v>
      </c>
      <c r="K9" s="9">
        <v>95</v>
      </c>
      <c r="L9" s="9">
        <v>29</v>
      </c>
      <c r="M9" s="9">
        <v>107</v>
      </c>
    </row>
    <row r="10" spans="1:13" ht="12.75">
      <c r="A10" s="9"/>
      <c r="B10" s="12"/>
      <c r="C10" s="10"/>
      <c r="D10" s="100"/>
      <c r="E10" s="99"/>
      <c r="F10" s="10"/>
      <c r="G10" s="10"/>
      <c r="H10" s="10"/>
      <c r="I10" s="10"/>
      <c r="J10" s="10"/>
      <c r="K10" s="9"/>
      <c r="L10" s="9"/>
      <c r="M10" s="9"/>
    </row>
    <row r="11" spans="1:13" ht="17.25">
      <c r="A11" s="9" t="s">
        <v>135</v>
      </c>
      <c r="B11" s="12" t="s">
        <v>41</v>
      </c>
      <c r="C11" s="10">
        <v>0.52</v>
      </c>
      <c r="D11" s="100">
        <f>C11-E11/10000</f>
        <v>0.341</v>
      </c>
      <c r="E11" s="99">
        <v>1790</v>
      </c>
      <c r="F11" s="10">
        <v>0.13</v>
      </c>
      <c r="G11" s="10">
        <v>0.43</v>
      </c>
      <c r="H11" s="10">
        <v>0.7</v>
      </c>
      <c r="I11" s="10">
        <v>0.3</v>
      </c>
      <c r="J11" s="10">
        <v>0.04</v>
      </c>
      <c r="K11" s="9">
        <v>57</v>
      </c>
      <c r="L11" s="9">
        <v>14</v>
      </c>
      <c r="M11" s="9">
        <v>61</v>
      </c>
    </row>
    <row r="12" spans="1:13" ht="17.25">
      <c r="A12" s="9" t="s">
        <v>135</v>
      </c>
      <c r="B12" s="12" t="s">
        <v>42</v>
      </c>
      <c r="C12" s="10">
        <v>0.73</v>
      </c>
      <c r="D12" s="100">
        <f>C12-E12/10000</f>
        <v>0.629</v>
      </c>
      <c r="E12" s="99">
        <v>1010</v>
      </c>
      <c r="F12" s="10">
        <v>0.23</v>
      </c>
      <c r="G12" s="10">
        <v>0.57</v>
      </c>
      <c r="H12" s="10">
        <v>1.5</v>
      </c>
      <c r="I12" s="10">
        <v>0.41</v>
      </c>
      <c r="J12" s="10">
        <v>0.09</v>
      </c>
      <c r="K12" s="9">
        <v>129</v>
      </c>
      <c r="L12" s="9">
        <v>36</v>
      </c>
      <c r="M12" s="9">
        <v>112</v>
      </c>
    </row>
    <row r="13" spans="1:13" ht="12.75">
      <c r="A13" s="9"/>
      <c r="B13" s="12"/>
      <c r="C13" s="10"/>
      <c r="D13" s="100"/>
      <c r="E13" s="99"/>
      <c r="F13" s="10"/>
      <c r="G13" s="10"/>
      <c r="H13" s="10"/>
      <c r="I13" s="10"/>
      <c r="J13" s="10"/>
      <c r="K13" s="9"/>
      <c r="L13" s="9"/>
      <c r="M13" s="9"/>
    </row>
    <row r="14" spans="1:13" ht="17.25">
      <c r="A14" s="9" t="s">
        <v>136</v>
      </c>
      <c r="B14" s="12" t="s">
        <v>41</v>
      </c>
      <c r="C14" s="10">
        <v>0.83</v>
      </c>
      <c r="D14" s="100">
        <f>C14-E14/10000</f>
        <v>0.2719999999999999</v>
      </c>
      <c r="E14" s="99">
        <v>5580</v>
      </c>
      <c r="F14" s="10">
        <v>0.3</v>
      </c>
      <c r="G14" s="10">
        <v>0.3</v>
      </c>
      <c r="H14" s="10">
        <v>1.6</v>
      </c>
      <c r="I14" s="10">
        <v>0.08</v>
      </c>
      <c r="J14" s="10">
        <v>0.08</v>
      </c>
      <c r="K14" s="9">
        <v>70</v>
      </c>
      <c r="L14" s="9">
        <v>11</v>
      </c>
      <c r="M14" s="9">
        <v>64</v>
      </c>
    </row>
    <row r="15" spans="1:13" ht="17.25">
      <c r="A15" s="9" t="s">
        <v>136</v>
      </c>
      <c r="B15" s="12" t="s">
        <v>42</v>
      </c>
      <c r="C15" s="100">
        <v>2.37</v>
      </c>
      <c r="D15" s="100">
        <f>C15-E15/10000</f>
        <v>1.82</v>
      </c>
      <c r="E15" s="101">
        <v>5500</v>
      </c>
      <c r="F15" s="100">
        <v>1.11</v>
      </c>
      <c r="G15" s="100">
        <v>1.17</v>
      </c>
      <c r="H15" s="102">
        <v>4.6</v>
      </c>
      <c r="I15" s="102">
        <v>0.28</v>
      </c>
      <c r="J15" s="102">
        <v>0.16</v>
      </c>
      <c r="K15" s="41">
        <v>238</v>
      </c>
      <c r="L15" s="41">
        <v>33</v>
      </c>
      <c r="M15" s="41">
        <v>204</v>
      </c>
    </row>
    <row r="16" spans="1:13" ht="12.75">
      <c r="A16" s="40"/>
      <c r="B16" s="23"/>
      <c r="C16" s="100"/>
      <c r="D16" s="100"/>
      <c r="E16" s="101"/>
      <c r="F16" s="100"/>
      <c r="G16" s="100"/>
      <c r="H16" s="100"/>
      <c r="I16" s="10"/>
      <c r="J16" s="10"/>
      <c r="K16" s="9"/>
      <c r="L16" s="9"/>
      <c r="M16" s="9"/>
    </row>
    <row r="17" spans="1:13" ht="17.25">
      <c r="A17" s="40" t="s">
        <v>137</v>
      </c>
      <c r="B17" s="12" t="s">
        <v>42</v>
      </c>
      <c r="C17" s="100">
        <v>0.42</v>
      </c>
      <c r="D17" s="100">
        <f>C17-E17/10000</f>
        <v>0.352</v>
      </c>
      <c r="E17" s="101">
        <v>680</v>
      </c>
      <c r="F17" s="100">
        <v>0.13</v>
      </c>
      <c r="G17" s="100">
        <v>0.36</v>
      </c>
      <c r="H17" s="102">
        <v>1.7</v>
      </c>
      <c r="I17" s="102">
        <v>0.56</v>
      </c>
      <c r="J17" s="10" t="s">
        <v>130</v>
      </c>
      <c r="K17" s="41">
        <v>73</v>
      </c>
      <c r="L17" s="41">
        <v>23</v>
      </c>
      <c r="M17" s="41">
        <v>113</v>
      </c>
    </row>
    <row r="18" spans="1:13" ht="12.75">
      <c r="A18" s="40"/>
      <c r="B18" s="23"/>
      <c r="C18" s="100"/>
      <c r="D18" s="100"/>
      <c r="E18" s="101"/>
      <c r="F18" s="100"/>
      <c r="G18" s="100"/>
      <c r="H18" s="102"/>
      <c r="I18" s="102"/>
      <c r="J18" s="10"/>
      <c r="K18" s="41"/>
      <c r="L18" s="41"/>
      <c r="M18" s="41"/>
    </row>
    <row r="19" spans="1:13" ht="12.75">
      <c r="A19" s="40" t="s">
        <v>138</v>
      </c>
      <c r="B19" s="12" t="s">
        <v>42</v>
      </c>
      <c r="C19" s="100">
        <v>0.76</v>
      </c>
      <c r="D19" s="100">
        <f>C19-E19/10000</f>
        <v>0.5740000000000001</v>
      </c>
      <c r="E19" s="101">
        <v>1860</v>
      </c>
      <c r="F19" s="100">
        <v>0.27</v>
      </c>
      <c r="G19" s="100">
        <v>0.7</v>
      </c>
      <c r="H19" s="102">
        <v>1.5</v>
      </c>
      <c r="I19" s="102">
        <v>0.38</v>
      </c>
      <c r="J19" s="10" t="s">
        <v>130</v>
      </c>
      <c r="K19" s="41">
        <v>170</v>
      </c>
      <c r="L19" s="41">
        <v>20</v>
      </c>
      <c r="M19" s="41">
        <v>140</v>
      </c>
    </row>
    <row r="20" spans="1:13" ht="17.25">
      <c r="A20" s="40" t="s">
        <v>139</v>
      </c>
      <c r="B20" s="12" t="s">
        <v>42</v>
      </c>
      <c r="C20" s="100">
        <v>1.1</v>
      </c>
      <c r="D20" s="100">
        <f>C20-E20/10000</f>
        <v>0.8050000000000002</v>
      </c>
      <c r="E20" s="101">
        <v>2950</v>
      </c>
      <c r="F20" s="100">
        <v>0.28</v>
      </c>
      <c r="G20" s="100">
        <v>1.06</v>
      </c>
      <c r="H20" s="102" t="s">
        <v>130</v>
      </c>
      <c r="I20" s="102" t="s">
        <v>130</v>
      </c>
      <c r="J20" s="10" t="s">
        <v>130</v>
      </c>
      <c r="K20" s="41" t="s">
        <v>130</v>
      </c>
      <c r="L20" s="41" t="s">
        <v>130</v>
      </c>
      <c r="M20" s="41" t="s">
        <v>130</v>
      </c>
    </row>
    <row r="21" spans="1:13" ht="12.75">
      <c r="A21" s="40"/>
      <c r="B21" s="12"/>
      <c r="C21" s="100"/>
      <c r="D21" s="100"/>
      <c r="E21" s="101"/>
      <c r="F21" s="100"/>
      <c r="G21" s="100"/>
      <c r="H21" s="102"/>
      <c r="I21" s="102"/>
      <c r="J21" s="10"/>
      <c r="K21" s="41"/>
      <c r="L21" s="41"/>
      <c r="M21" s="41"/>
    </row>
    <row r="22" spans="1:13" ht="17.25">
      <c r="A22" s="40" t="s">
        <v>140</v>
      </c>
      <c r="B22" s="12" t="s">
        <v>42</v>
      </c>
      <c r="C22" s="100">
        <v>2.97</v>
      </c>
      <c r="D22" s="100">
        <v>1.72</v>
      </c>
      <c r="E22" s="101">
        <v>12465</v>
      </c>
      <c r="F22" s="100">
        <v>1.68</v>
      </c>
      <c r="G22" s="100">
        <v>0.7</v>
      </c>
      <c r="H22" s="102" t="s">
        <v>130</v>
      </c>
      <c r="I22" s="102" t="s">
        <v>130</v>
      </c>
      <c r="J22" s="10" t="s">
        <v>130</v>
      </c>
      <c r="K22" s="41" t="s">
        <v>130</v>
      </c>
      <c r="L22" s="41" t="s">
        <v>130</v>
      </c>
      <c r="M22" s="41" t="s">
        <v>130</v>
      </c>
    </row>
    <row r="23" spans="1:13" ht="17.25">
      <c r="A23" s="15" t="s">
        <v>141</v>
      </c>
      <c r="B23" s="14" t="s">
        <v>42</v>
      </c>
      <c r="C23" s="18">
        <v>1.8</v>
      </c>
      <c r="D23" s="15">
        <v>1.31</v>
      </c>
      <c r="E23" s="103">
        <v>4856</v>
      </c>
      <c r="F23" s="18">
        <v>1.51</v>
      </c>
      <c r="G23" s="18">
        <v>0.38</v>
      </c>
      <c r="H23" s="18" t="s">
        <v>130</v>
      </c>
      <c r="I23" s="18" t="s">
        <v>130</v>
      </c>
      <c r="J23" s="18" t="s">
        <v>130</v>
      </c>
      <c r="K23" s="15" t="s">
        <v>130</v>
      </c>
      <c r="L23" s="15" t="s">
        <v>130</v>
      </c>
      <c r="M23" s="15" t="s">
        <v>130</v>
      </c>
    </row>
    <row r="24" ht="17.25">
      <c r="A24" t="s">
        <v>131</v>
      </c>
    </row>
    <row r="25" ht="17.25">
      <c r="A25" s="26" t="s">
        <v>132</v>
      </c>
    </row>
  </sheetData>
  <sheetProtection sheet="1" objects="1" scenarios="1"/>
  <printOptions/>
  <pageMargins left="0.75" right="0.75" top="1" bottom="1" header="0.5" footer="0.5"/>
  <pageSetup horizontalDpi="300" verticalDpi="300" orientation="landscape" r:id="rId2"/>
  <drawing r:id="rId1"/>
</worksheet>
</file>

<file path=xl/worksheets/sheet6.xml><?xml version="1.0" encoding="utf-8"?>
<worksheet xmlns="http://schemas.openxmlformats.org/spreadsheetml/2006/main" xmlns:r="http://schemas.openxmlformats.org/officeDocument/2006/relationships">
  <sheetPr>
    <tabColor indexed="62"/>
  </sheetPr>
  <dimension ref="A2:E29"/>
  <sheetViews>
    <sheetView zoomScalePageLayoutView="0" workbookViewId="0" topLeftCell="A1">
      <selection activeCell="A26" sqref="A26"/>
    </sheetView>
  </sheetViews>
  <sheetFormatPr defaultColWidth="9.140625" defaultRowHeight="12.75"/>
  <cols>
    <col min="1" max="1" width="27.8515625" style="0" customWidth="1"/>
    <col min="2" max="2" width="17.28125" style="0" bestFit="1" customWidth="1"/>
    <col min="3" max="3" width="13.28125" style="0" bestFit="1" customWidth="1"/>
    <col min="4" max="4" width="17.7109375" style="0" bestFit="1" customWidth="1"/>
    <col min="5" max="5" width="13.7109375" style="0" bestFit="1" customWidth="1"/>
  </cols>
  <sheetData>
    <row r="2" spans="1:2" ht="14.25">
      <c r="A2" s="117" t="s">
        <v>105</v>
      </c>
      <c r="B2" s="117"/>
    </row>
    <row r="3" spans="1:5" ht="12.75">
      <c r="A3" s="16"/>
      <c r="B3" s="119" t="s">
        <v>41</v>
      </c>
      <c r="C3" s="120"/>
      <c r="D3" s="119" t="s">
        <v>42</v>
      </c>
      <c r="E3" s="120"/>
    </row>
    <row r="4" spans="1:5" ht="12.75">
      <c r="A4" s="17"/>
      <c r="B4" s="14" t="s">
        <v>144</v>
      </c>
      <c r="C4" s="14" t="s">
        <v>145</v>
      </c>
      <c r="D4" s="14" t="s">
        <v>144</v>
      </c>
      <c r="E4" s="14" t="s">
        <v>145</v>
      </c>
    </row>
    <row r="5" spans="1:5" ht="12.75">
      <c r="A5" s="116" t="s">
        <v>45</v>
      </c>
      <c r="B5" s="116"/>
      <c r="C5" s="19"/>
      <c r="D5" s="19"/>
      <c r="E5" s="19"/>
    </row>
    <row r="6" spans="1:5" ht="12.75">
      <c r="A6" s="69" t="s">
        <v>46</v>
      </c>
      <c r="B6" s="10">
        <v>1</v>
      </c>
      <c r="C6" s="10">
        <v>0.8</v>
      </c>
      <c r="D6" s="10">
        <v>1</v>
      </c>
      <c r="E6" s="10">
        <v>0.9</v>
      </c>
    </row>
    <row r="7" spans="1:5" ht="12.75">
      <c r="A7" s="69" t="s">
        <v>47</v>
      </c>
      <c r="B7" s="10">
        <v>0.75</v>
      </c>
      <c r="C7" s="10">
        <v>0.6</v>
      </c>
      <c r="D7" s="10">
        <v>0.85</v>
      </c>
      <c r="E7" s="10">
        <v>0.77</v>
      </c>
    </row>
    <row r="8" spans="1:5" ht="12.75">
      <c r="A8" s="69" t="s">
        <v>48</v>
      </c>
      <c r="B8" s="10">
        <v>0.7</v>
      </c>
      <c r="C8" s="10">
        <v>0.56</v>
      </c>
      <c r="D8" s="10">
        <v>0.75</v>
      </c>
      <c r="E8" s="10">
        <v>0.68</v>
      </c>
    </row>
    <row r="9" spans="1:5" ht="12.75">
      <c r="A9" s="69" t="s">
        <v>49</v>
      </c>
      <c r="B9" s="10">
        <v>0.65</v>
      </c>
      <c r="C9" s="10">
        <v>0.52</v>
      </c>
      <c r="D9" s="10">
        <v>0.65</v>
      </c>
      <c r="E9" s="10">
        <v>0.59</v>
      </c>
    </row>
    <row r="10" spans="1:5" ht="12.75">
      <c r="A10" s="69" t="s">
        <v>50</v>
      </c>
      <c r="B10" s="10">
        <v>0.6</v>
      </c>
      <c r="C10" s="10">
        <v>0.48</v>
      </c>
      <c r="D10" s="10">
        <v>0.6</v>
      </c>
      <c r="E10" s="10">
        <v>0.54</v>
      </c>
    </row>
    <row r="11" spans="1:5" ht="12.75">
      <c r="A11" s="69" t="s">
        <v>51</v>
      </c>
      <c r="B11" s="10">
        <v>0.55</v>
      </c>
      <c r="C11" s="10">
        <v>0.44</v>
      </c>
      <c r="D11" s="10">
        <v>0.55</v>
      </c>
      <c r="E11" s="10">
        <v>0.5</v>
      </c>
    </row>
    <row r="12" spans="1:5" ht="12.75">
      <c r="A12" s="20" t="s">
        <v>52</v>
      </c>
      <c r="B12" s="19"/>
      <c r="C12" s="19"/>
      <c r="D12" s="19"/>
      <c r="E12" s="19"/>
    </row>
    <row r="13" spans="1:5" ht="12.75">
      <c r="A13" s="69" t="s">
        <v>106</v>
      </c>
      <c r="B13" s="10">
        <v>0.34</v>
      </c>
      <c r="C13" s="10">
        <v>0.27</v>
      </c>
      <c r="D13" s="10">
        <v>0.5</v>
      </c>
      <c r="E13" s="10">
        <v>0.45</v>
      </c>
    </row>
    <row r="14" spans="1:5" ht="12.75">
      <c r="A14" s="69" t="s">
        <v>107</v>
      </c>
      <c r="B14" s="10">
        <v>0.5</v>
      </c>
      <c r="C14" s="10">
        <v>0.4</v>
      </c>
      <c r="D14" s="10">
        <v>0.7</v>
      </c>
      <c r="E14" s="10">
        <v>0.63</v>
      </c>
    </row>
    <row r="15" spans="1:5" ht="12.75">
      <c r="A15" s="69" t="s">
        <v>108</v>
      </c>
      <c r="B15" s="10">
        <v>0.7</v>
      </c>
      <c r="C15" s="10">
        <v>0.56</v>
      </c>
      <c r="D15" s="10">
        <v>0.6</v>
      </c>
      <c r="E15" s="10">
        <v>0.54</v>
      </c>
    </row>
    <row r="16" spans="1:5" ht="12.75">
      <c r="A16" s="69" t="s">
        <v>142</v>
      </c>
      <c r="B16" s="10">
        <v>0.7</v>
      </c>
      <c r="C16" s="10">
        <v>0.56</v>
      </c>
      <c r="D16" s="10">
        <v>0.7</v>
      </c>
      <c r="E16" s="10">
        <v>0.63</v>
      </c>
    </row>
    <row r="17" spans="1:5" ht="12.75">
      <c r="A17" s="68" t="s">
        <v>53</v>
      </c>
      <c r="B17" s="18" t="s">
        <v>54</v>
      </c>
      <c r="C17" s="18">
        <v>0.6</v>
      </c>
      <c r="D17" s="18" t="s">
        <v>54</v>
      </c>
      <c r="E17" s="18">
        <v>0.68</v>
      </c>
    </row>
    <row r="18" ht="12.75">
      <c r="A18" s="26" t="s">
        <v>143</v>
      </c>
    </row>
    <row r="20" spans="1:3" ht="12.75">
      <c r="A20" s="117" t="s">
        <v>118</v>
      </c>
      <c r="B20" s="117"/>
      <c r="C20" s="117"/>
    </row>
    <row r="21" spans="1:5" ht="12.75">
      <c r="A21" s="21"/>
      <c r="C21" s="118" t="s">
        <v>55</v>
      </c>
      <c r="D21" s="118"/>
      <c r="E21" s="118"/>
    </row>
    <row r="22" spans="1:5" ht="12.75">
      <c r="A22" s="22"/>
      <c r="B22" s="23" t="s">
        <v>43</v>
      </c>
      <c r="C22" s="23" t="s">
        <v>109</v>
      </c>
      <c r="D22" s="23" t="s">
        <v>90</v>
      </c>
      <c r="E22" s="23" t="s">
        <v>91</v>
      </c>
    </row>
    <row r="23" spans="1:5" ht="12.75">
      <c r="A23" s="24" t="s">
        <v>89</v>
      </c>
      <c r="B23" s="14"/>
      <c r="C23" s="14" t="s">
        <v>41</v>
      </c>
      <c r="D23" s="14" t="s">
        <v>56</v>
      </c>
      <c r="E23" s="14" t="s">
        <v>57</v>
      </c>
    </row>
    <row r="24" spans="1:5" ht="12.75">
      <c r="A24" s="25" t="s">
        <v>145</v>
      </c>
      <c r="B24" s="10">
        <v>0.3</v>
      </c>
      <c r="C24" s="10">
        <v>0.3</v>
      </c>
      <c r="D24" s="10">
        <v>0.1</v>
      </c>
      <c r="E24" s="9" t="s">
        <v>120</v>
      </c>
    </row>
    <row r="25" spans="1:5" ht="12.75">
      <c r="A25" s="24" t="s">
        <v>144</v>
      </c>
      <c r="B25" s="18">
        <v>0.3</v>
      </c>
      <c r="C25" s="18">
        <v>0.2</v>
      </c>
      <c r="D25" s="15">
        <v>0.1</v>
      </c>
      <c r="E25" s="15">
        <v>0.1</v>
      </c>
    </row>
    <row r="26" ht="12.75">
      <c r="A26" s="26" t="s">
        <v>143</v>
      </c>
    </row>
    <row r="28" ht="12.75">
      <c r="A28" s="25" t="s">
        <v>110</v>
      </c>
    </row>
    <row r="29" ht="12.75">
      <c r="A29" s="25" t="s">
        <v>119</v>
      </c>
    </row>
  </sheetData>
  <sheetProtection sheet="1" objects="1" scenarios="1"/>
  <mergeCells count="6">
    <mergeCell ref="A5:B5"/>
    <mergeCell ref="A2:B2"/>
    <mergeCell ref="C21:E21"/>
    <mergeCell ref="A20:C20"/>
    <mergeCell ref="B3:C3"/>
    <mergeCell ref="D3:E3"/>
  </mergeCells>
  <printOptions/>
  <pageMargins left="0.75" right="0.75" top="1" bottom="1" header="0.5" footer="0.5"/>
  <pageSetup horizontalDpi="300" verticalDpi="300" orientation="landscape" r:id="rId2"/>
  <drawing r:id="rId1"/>
</worksheet>
</file>

<file path=xl/worksheets/sheet7.xml><?xml version="1.0" encoding="utf-8"?>
<worksheet xmlns="http://schemas.openxmlformats.org/spreadsheetml/2006/main" xmlns:r="http://schemas.openxmlformats.org/officeDocument/2006/relationships">
  <dimension ref="A2:U43"/>
  <sheetViews>
    <sheetView zoomScalePageLayoutView="0" workbookViewId="0" topLeftCell="A1">
      <selection activeCell="A1" sqref="A1"/>
    </sheetView>
  </sheetViews>
  <sheetFormatPr defaultColWidth="9.140625" defaultRowHeight="12.75"/>
  <cols>
    <col min="1" max="1" width="28.7109375" style="0" bestFit="1" customWidth="1"/>
    <col min="2" max="2" width="8.8515625" style="0" bestFit="1" customWidth="1"/>
    <col min="3" max="3" width="7.421875" style="0" bestFit="1" customWidth="1"/>
    <col min="4" max="4" width="8.8515625" style="0" bestFit="1" customWidth="1"/>
    <col min="5" max="5" width="7.00390625" style="0" bestFit="1" customWidth="1"/>
    <col min="6" max="6" width="8.8515625" style="0" bestFit="1" customWidth="1"/>
    <col min="7" max="7" width="14.140625" style="0" bestFit="1" customWidth="1"/>
    <col min="8" max="8" width="7.00390625" style="0" bestFit="1" customWidth="1"/>
    <col min="9" max="9" width="7.140625" style="0" bestFit="1" customWidth="1"/>
    <col min="10" max="11" width="7.00390625" style="0" bestFit="1" customWidth="1"/>
    <col min="12" max="12" width="5.00390625" style="0" bestFit="1" customWidth="1"/>
    <col min="13" max="13" width="7.00390625" style="0" bestFit="1" customWidth="1"/>
    <col min="14" max="14" width="6.00390625" style="0" bestFit="1" customWidth="1"/>
    <col min="15" max="15" width="7.00390625" style="0" bestFit="1" customWidth="1"/>
    <col min="16" max="16" width="7.8515625" style="0" bestFit="1" customWidth="1"/>
    <col min="17" max="17" width="13.28125" style="0" bestFit="1" customWidth="1"/>
    <col min="18" max="18" width="10.7109375" style="0" bestFit="1" customWidth="1"/>
  </cols>
  <sheetData>
    <row r="1" ht="13.5" thickBot="1"/>
    <row r="2" spans="1:11" ht="12.75">
      <c r="A2" s="109" t="s">
        <v>60</v>
      </c>
      <c r="B2" s="110"/>
      <c r="C2" s="110"/>
      <c r="D2" s="110"/>
      <c r="E2" s="111"/>
      <c r="G2" s="109" t="s">
        <v>61</v>
      </c>
      <c r="H2" s="110"/>
      <c r="I2" s="110"/>
      <c r="J2" s="110"/>
      <c r="K2" s="111"/>
    </row>
    <row r="3" spans="1:11" ht="14.25">
      <c r="A3" s="52" t="s">
        <v>17</v>
      </c>
      <c r="B3" s="23" t="s">
        <v>58</v>
      </c>
      <c r="C3" s="23" t="s">
        <v>64</v>
      </c>
      <c r="D3" s="23" t="s">
        <v>65</v>
      </c>
      <c r="E3" s="63" t="s">
        <v>69</v>
      </c>
      <c r="G3" s="52" t="s">
        <v>17</v>
      </c>
      <c r="H3" s="23" t="s">
        <v>58</v>
      </c>
      <c r="I3" s="23" t="s">
        <v>64</v>
      </c>
      <c r="J3" s="23" t="s">
        <v>65</v>
      </c>
      <c r="K3" s="63" t="s">
        <v>69</v>
      </c>
    </row>
    <row r="4" spans="1:11" ht="12.75">
      <c r="A4" s="61" t="s">
        <v>83</v>
      </c>
      <c r="B4" s="40">
        <f>'Manure Value'!B4</f>
        <v>0</v>
      </c>
      <c r="C4" s="40">
        <f>'Manure Value'!C4</f>
        <v>46</v>
      </c>
      <c r="D4" s="40">
        <f>'Manure Value'!D4</f>
        <v>0</v>
      </c>
      <c r="E4" s="38">
        <f>'Manure Value'!E4</f>
        <v>0</v>
      </c>
      <c r="G4" s="33" t="str">
        <f>'Manure Value'!A13</f>
        <v>0</v>
      </c>
      <c r="H4" s="40">
        <f>'Manure Value'!B13</f>
        <v>0</v>
      </c>
      <c r="I4" s="40">
        <f>'Manure Value'!C13</f>
        <v>0</v>
      </c>
      <c r="J4" s="40">
        <f>'Manure Value'!D13</f>
        <v>0</v>
      </c>
      <c r="K4" s="38">
        <f>'Manure Value'!E13</f>
        <v>0</v>
      </c>
    </row>
    <row r="5" spans="1:20" ht="12.75">
      <c r="A5" s="61" t="s">
        <v>82</v>
      </c>
      <c r="B5" s="41">
        <v>34</v>
      </c>
      <c r="C5" s="41">
        <v>0</v>
      </c>
      <c r="D5" s="41">
        <v>0</v>
      </c>
      <c r="E5" s="39">
        <f>'Manure Value'!E5</f>
        <v>0</v>
      </c>
      <c r="G5" s="33"/>
      <c r="H5" s="41"/>
      <c r="I5" s="41"/>
      <c r="J5" s="41"/>
      <c r="K5" s="35"/>
      <c r="R5" s="4"/>
      <c r="S5" s="4"/>
      <c r="T5" s="4"/>
    </row>
    <row r="6" spans="1:20" ht="13.5" thickBot="1">
      <c r="A6" s="61" t="s">
        <v>18</v>
      </c>
      <c r="B6" s="41">
        <v>0</v>
      </c>
      <c r="C6" s="41">
        <v>0</v>
      </c>
      <c r="D6" s="41">
        <v>60</v>
      </c>
      <c r="E6" s="39">
        <f>'Manure Value'!E6</f>
        <v>0</v>
      </c>
      <c r="G6" s="53" t="s">
        <v>70</v>
      </c>
      <c r="H6" s="57" t="e">
        <f>(K4)/(10*(J4+H4+I4))</f>
        <v>#DIV/0!</v>
      </c>
      <c r="I6" s="57" t="e">
        <f>((K4)/(10*(H4+I4+J4)))</f>
        <v>#DIV/0!</v>
      </c>
      <c r="J6" s="57" t="e">
        <f>((K4)/(10*(I4+J4+H4)))</f>
        <v>#DIV/0!</v>
      </c>
      <c r="K6" s="37"/>
      <c r="R6" s="4"/>
      <c r="S6" s="4"/>
      <c r="T6" s="4"/>
    </row>
    <row r="7" spans="1:21" ht="12.75">
      <c r="A7" s="52"/>
      <c r="B7" s="41"/>
      <c r="C7" s="41"/>
      <c r="D7" s="41"/>
      <c r="E7" s="34"/>
      <c r="Q7" s="30"/>
      <c r="R7" s="42"/>
      <c r="S7" s="42"/>
      <c r="T7" s="42"/>
      <c r="U7" s="5"/>
    </row>
    <row r="8" spans="1:21" ht="13.5" thickBot="1">
      <c r="A8" s="53" t="s">
        <v>70</v>
      </c>
      <c r="B8" s="57">
        <f>E5/(10*(B5+C5+D5))</f>
        <v>0</v>
      </c>
      <c r="C8" s="57">
        <f>(E4-(10*(B4*B8+D4*D8)))/(10*(C4))</f>
        <v>0</v>
      </c>
      <c r="D8" s="57">
        <f>E6/(10*(B6+C6+D6))</f>
        <v>0</v>
      </c>
      <c r="E8" s="36"/>
      <c r="Q8" s="30"/>
      <c r="R8" s="42"/>
      <c r="S8" s="42"/>
      <c r="T8" s="42"/>
      <c r="U8" s="5"/>
    </row>
    <row r="9" spans="1:21" ht="12.75">
      <c r="A9" s="27"/>
      <c r="B9" s="4"/>
      <c r="C9" s="4"/>
      <c r="D9" s="4"/>
      <c r="I9" s="5"/>
      <c r="Q9" s="30"/>
      <c r="R9" s="42"/>
      <c r="S9" s="42"/>
      <c r="T9" s="42"/>
      <c r="U9" s="5"/>
    </row>
    <row r="10" spans="2:18" ht="14.25">
      <c r="B10" s="70" t="s">
        <v>23</v>
      </c>
      <c r="C10" s="70"/>
      <c r="D10" s="70" t="s">
        <v>24</v>
      </c>
      <c r="E10" s="70"/>
      <c r="F10" s="70" t="s">
        <v>25</v>
      </c>
      <c r="G10" s="70"/>
      <c r="H10" s="70" t="s">
        <v>44</v>
      </c>
      <c r="I10" s="70"/>
      <c r="J10" s="70" t="s">
        <v>21</v>
      </c>
      <c r="K10" s="70"/>
      <c r="L10" s="70" t="s">
        <v>67</v>
      </c>
      <c r="M10" s="70"/>
      <c r="N10" s="70" t="s">
        <v>68</v>
      </c>
      <c r="O10" s="70"/>
      <c r="P10" s="12" t="s">
        <v>26</v>
      </c>
      <c r="Q10" s="12" t="s">
        <v>2</v>
      </c>
      <c r="R10" s="12" t="s">
        <v>2</v>
      </c>
    </row>
    <row r="11" spans="2:18" ht="12.75">
      <c r="B11" s="12" t="s">
        <v>3</v>
      </c>
      <c r="C11" s="12" t="s">
        <v>29</v>
      </c>
      <c r="D11" s="12" t="s">
        <v>3</v>
      </c>
      <c r="E11" s="12" t="s">
        <v>29</v>
      </c>
      <c r="F11" s="12" t="s">
        <v>3</v>
      </c>
      <c r="G11" s="12" t="s">
        <v>29</v>
      </c>
      <c r="H11" s="12"/>
      <c r="I11" s="12" t="s">
        <v>29</v>
      </c>
      <c r="J11" s="12"/>
      <c r="K11" s="12" t="s">
        <v>29</v>
      </c>
      <c r="L11" s="12"/>
      <c r="M11" s="12" t="s">
        <v>29</v>
      </c>
      <c r="N11" s="12"/>
      <c r="O11" s="12" t="s">
        <v>29</v>
      </c>
      <c r="P11" s="12" t="s">
        <v>27</v>
      </c>
      <c r="Q11" s="12" t="s">
        <v>30</v>
      </c>
      <c r="R11" s="12" t="s">
        <v>32</v>
      </c>
    </row>
    <row r="12" spans="1:18" ht="12.75">
      <c r="A12">
        <v>-100</v>
      </c>
      <c r="B12" s="4">
        <f aca="true" t="shared" si="0" ref="B12:B20">IF($B$22=0,($B$22+0),($B$22+A12))</f>
        <v>0</v>
      </c>
      <c r="C12" s="44" t="e">
        <f aca="true" t="shared" si="1" ref="C12:C42">IF(B$8=0,(B12/(10*(H$4+I$4+J$4))),(B12/(10*(B$5+C$5+D$5))))</f>
        <v>#DIV/0!</v>
      </c>
      <c r="D12" s="4">
        <f aca="true" t="shared" si="2" ref="D12:D20">IF($D$22=0,($D$22+0),($D$22+A12))</f>
        <v>0</v>
      </c>
      <c r="E12" s="44" t="e">
        <f aca="true" t="shared" si="3" ref="E12:E21">IF(C$8=0,(D12/(10*(H$4+I$4+J$4))),(D12/(10*(B$4+C$4+D$4))))</f>
        <v>#DIV/0!</v>
      </c>
      <c r="F12" s="4">
        <f aca="true" t="shared" si="4" ref="F12:F20">IF($F$22=0,($F$22+0),($F$22+A12))</f>
        <v>0</v>
      </c>
      <c r="G12" s="44" t="e">
        <f aca="true" t="shared" si="5" ref="G12:G42">IF(D$8=0,(F12/(10*(H$4+I$4+J$4))),(F12/(10*(B$6+C$6+D$6))))</f>
        <v>#DIV/0!</v>
      </c>
      <c r="H12" s="4">
        <f>'Manure Value'!$D$21</f>
        <v>0</v>
      </c>
      <c r="I12" s="44" t="e">
        <f aca="true" t="shared" si="6" ref="I12:I42">H12*C12</f>
        <v>#DIV/0!</v>
      </c>
      <c r="J12" s="4">
        <f>'Manure Value'!$D$22</f>
        <v>0</v>
      </c>
      <c r="K12" s="44" t="e">
        <f aca="true" t="shared" si="7" ref="K12:K42">J12*C12</f>
        <v>#DIV/0!</v>
      </c>
      <c r="L12" s="4">
        <f>'Manure Value'!$D$23</f>
        <v>0</v>
      </c>
      <c r="M12" s="44" t="e">
        <f aca="true" t="shared" si="8" ref="M12:M42">L12*E12</f>
        <v>#DIV/0!</v>
      </c>
      <c r="N12" s="4">
        <f>'Manure Value'!$D$24</f>
        <v>0</v>
      </c>
      <c r="O12" s="44" t="e">
        <f aca="true" t="shared" si="9" ref="O12:O21">N12*G12</f>
        <v>#DIV/0!</v>
      </c>
      <c r="P12" s="44" t="e">
        <f>I12+K12+M12+O12</f>
        <v>#DIV/0!</v>
      </c>
      <c r="Q12" s="8" t="e">
        <f>$P12*'Spreading Cost ($ per hr)'!F$6*'Spreading Cost ($ per hr)'!C$8/(2*(IF('Spreading Cost ($ per hr)'!C$27=0,'Spreading Cost ($ per hr)'!C$23,'Spreading Cost ($ per hr)'!C$27)))</f>
        <v>#DIV/0!</v>
      </c>
      <c r="R12" s="2" t="e">
        <f>60*P12*'Spreading Cost ($ per hr)'!C$8/(2*(IF('Spreading Cost ($ per hr)'!C$27=0,'Spreading Cost ($ per hr)'!C$23,'Spreading Cost ($ per hr)'!C$27)))</f>
        <v>#DIV/0!</v>
      </c>
    </row>
    <row r="13" spans="1:18" ht="12.75">
      <c r="A13">
        <v>-90</v>
      </c>
      <c r="B13" s="4">
        <f t="shared" si="0"/>
        <v>0</v>
      </c>
      <c r="C13" s="44" t="e">
        <f t="shared" si="1"/>
        <v>#DIV/0!</v>
      </c>
      <c r="D13" s="4">
        <f t="shared" si="2"/>
        <v>0</v>
      </c>
      <c r="E13" s="44" t="e">
        <f t="shared" si="3"/>
        <v>#DIV/0!</v>
      </c>
      <c r="F13" s="4">
        <f t="shared" si="4"/>
        <v>0</v>
      </c>
      <c r="G13" s="44" t="e">
        <f t="shared" si="5"/>
        <v>#DIV/0!</v>
      </c>
      <c r="H13" s="4">
        <f>'Manure Value'!$D$21</f>
        <v>0</v>
      </c>
      <c r="I13" s="44" t="e">
        <f t="shared" si="6"/>
        <v>#DIV/0!</v>
      </c>
      <c r="J13" s="4">
        <f>'Manure Value'!$D$22</f>
        <v>0</v>
      </c>
      <c r="K13" s="44" t="e">
        <f t="shared" si="7"/>
        <v>#DIV/0!</v>
      </c>
      <c r="L13" s="4">
        <f>'Manure Value'!$D$23</f>
        <v>0</v>
      </c>
      <c r="M13" s="44" t="e">
        <f t="shared" si="8"/>
        <v>#DIV/0!</v>
      </c>
      <c r="N13" s="4">
        <f>'Manure Value'!$D$24</f>
        <v>0</v>
      </c>
      <c r="O13" s="44" t="e">
        <f t="shared" si="9"/>
        <v>#DIV/0!</v>
      </c>
      <c r="P13" s="44" t="e">
        <f aca="true" t="shared" si="10" ref="P13:P42">I13+K13+M13+O13</f>
        <v>#DIV/0!</v>
      </c>
      <c r="Q13" s="8" t="e">
        <f>$P13*'Spreading Cost ($ per hr)'!F$6*'Spreading Cost ($ per hr)'!C$8/(2*(IF('Spreading Cost ($ per hr)'!C$27=0,'Spreading Cost ($ per hr)'!C$23,'Spreading Cost ($ per hr)'!C$27)))</f>
        <v>#DIV/0!</v>
      </c>
      <c r="R13" s="2" t="e">
        <f>60*P13*'Spreading Cost ($ per hr)'!C$8/(2*(IF('Spreading Cost ($ per hr)'!C$27=0,'Spreading Cost ($ per hr)'!C$23,'Spreading Cost ($ per hr)'!C$27)))</f>
        <v>#DIV/0!</v>
      </c>
    </row>
    <row r="14" spans="1:18" ht="12.75">
      <c r="A14">
        <v>-80</v>
      </c>
      <c r="B14" s="4">
        <f t="shared" si="0"/>
        <v>0</v>
      </c>
      <c r="C14" s="44" t="e">
        <f t="shared" si="1"/>
        <v>#DIV/0!</v>
      </c>
      <c r="D14" s="4">
        <f t="shared" si="2"/>
        <v>0</v>
      </c>
      <c r="E14" s="44" t="e">
        <f t="shared" si="3"/>
        <v>#DIV/0!</v>
      </c>
      <c r="F14" s="4">
        <f t="shared" si="4"/>
        <v>0</v>
      </c>
      <c r="G14" s="44" t="e">
        <f t="shared" si="5"/>
        <v>#DIV/0!</v>
      </c>
      <c r="H14" s="4">
        <f>'Manure Value'!$D$21</f>
        <v>0</v>
      </c>
      <c r="I14" s="44" t="e">
        <f t="shared" si="6"/>
        <v>#DIV/0!</v>
      </c>
      <c r="J14" s="4">
        <f>'Manure Value'!$D$22</f>
        <v>0</v>
      </c>
      <c r="K14" s="44" t="e">
        <f t="shared" si="7"/>
        <v>#DIV/0!</v>
      </c>
      <c r="L14" s="4">
        <f>'Manure Value'!$D$23</f>
        <v>0</v>
      </c>
      <c r="M14" s="44" t="e">
        <f t="shared" si="8"/>
        <v>#DIV/0!</v>
      </c>
      <c r="N14" s="4">
        <f>'Manure Value'!$D$24</f>
        <v>0</v>
      </c>
      <c r="O14" s="44" t="e">
        <f t="shared" si="9"/>
        <v>#DIV/0!</v>
      </c>
      <c r="P14" s="44" t="e">
        <f t="shared" si="10"/>
        <v>#DIV/0!</v>
      </c>
      <c r="Q14" s="8" t="e">
        <f>$P14*'Spreading Cost ($ per hr)'!F$6*'Spreading Cost ($ per hr)'!C$8/(2*(IF('Spreading Cost ($ per hr)'!C$27=0,'Spreading Cost ($ per hr)'!C$23,'Spreading Cost ($ per hr)'!C$27)))</f>
        <v>#DIV/0!</v>
      </c>
      <c r="R14" s="2" t="e">
        <f>60*P14*'Spreading Cost ($ per hr)'!C$8/(2*(IF('Spreading Cost ($ per hr)'!C$27=0,'Spreading Cost ($ per hr)'!C$23,'Spreading Cost ($ per hr)'!C$27)))</f>
        <v>#DIV/0!</v>
      </c>
    </row>
    <row r="15" spans="1:18" ht="12.75">
      <c r="A15">
        <v>-70</v>
      </c>
      <c r="B15" s="4">
        <f t="shared" si="0"/>
        <v>0</v>
      </c>
      <c r="C15" s="44" t="e">
        <f t="shared" si="1"/>
        <v>#DIV/0!</v>
      </c>
      <c r="D15" s="4">
        <f t="shared" si="2"/>
        <v>0</v>
      </c>
      <c r="E15" s="44" t="e">
        <f t="shared" si="3"/>
        <v>#DIV/0!</v>
      </c>
      <c r="F15" s="4">
        <f t="shared" si="4"/>
        <v>0</v>
      </c>
      <c r="G15" s="44" t="e">
        <f t="shared" si="5"/>
        <v>#DIV/0!</v>
      </c>
      <c r="H15" s="4">
        <f>'Manure Value'!$D$21</f>
        <v>0</v>
      </c>
      <c r="I15" s="44" t="e">
        <f t="shared" si="6"/>
        <v>#DIV/0!</v>
      </c>
      <c r="J15" s="4">
        <f>'Manure Value'!$D$22</f>
        <v>0</v>
      </c>
      <c r="K15" s="44" t="e">
        <f t="shared" si="7"/>
        <v>#DIV/0!</v>
      </c>
      <c r="L15" s="4">
        <f>'Manure Value'!$D$23</f>
        <v>0</v>
      </c>
      <c r="M15" s="44" t="e">
        <f t="shared" si="8"/>
        <v>#DIV/0!</v>
      </c>
      <c r="N15" s="4">
        <f>'Manure Value'!$D$24</f>
        <v>0</v>
      </c>
      <c r="O15" s="44" t="e">
        <f t="shared" si="9"/>
        <v>#DIV/0!</v>
      </c>
      <c r="P15" s="44" t="e">
        <f t="shared" si="10"/>
        <v>#DIV/0!</v>
      </c>
      <c r="Q15" s="8" t="e">
        <f>$P15*'Spreading Cost ($ per hr)'!F$6*'Spreading Cost ($ per hr)'!C$8/(2*(IF('Spreading Cost ($ per hr)'!C$27=0,'Spreading Cost ($ per hr)'!C$23,'Spreading Cost ($ per hr)'!C$27)))</f>
        <v>#DIV/0!</v>
      </c>
      <c r="R15" s="2" t="e">
        <f>60*P15*'Spreading Cost ($ per hr)'!C$8/(2*(IF('Spreading Cost ($ per hr)'!C$27=0,'Spreading Cost ($ per hr)'!C$23,'Spreading Cost ($ per hr)'!C$27)))</f>
        <v>#DIV/0!</v>
      </c>
    </row>
    <row r="16" spans="1:18" ht="12.75">
      <c r="A16">
        <v>-60</v>
      </c>
      <c r="B16" s="4">
        <f t="shared" si="0"/>
        <v>0</v>
      </c>
      <c r="C16" s="44" t="e">
        <f t="shared" si="1"/>
        <v>#DIV/0!</v>
      </c>
      <c r="D16" s="4">
        <f t="shared" si="2"/>
        <v>0</v>
      </c>
      <c r="E16" s="44" t="e">
        <f t="shared" si="3"/>
        <v>#DIV/0!</v>
      </c>
      <c r="F16" s="4">
        <f t="shared" si="4"/>
        <v>0</v>
      </c>
      <c r="G16" s="44" t="e">
        <f t="shared" si="5"/>
        <v>#DIV/0!</v>
      </c>
      <c r="H16" s="4">
        <f>'Manure Value'!$D$21</f>
        <v>0</v>
      </c>
      <c r="I16" s="44" t="e">
        <f t="shared" si="6"/>
        <v>#DIV/0!</v>
      </c>
      <c r="J16" s="4">
        <f>'Manure Value'!$D$22</f>
        <v>0</v>
      </c>
      <c r="K16" s="44" t="e">
        <f t="shared" si="7"/>
        <v>#DIV/0!</v>
      </c>
      <c r="L16" s="4">
        <f>'Manure Value'!$D$23</f>
        <v>0</v>
      </c>
      <c r="M16" s="44" t="e">
        <f t="shared" si="8"/>
        <v>#DIV/0!</v>
      </c>
      <c r="N16" s="4">
        <f>'Manure Value'!$D$24</f>
        <v>0</v>
      </c>
      <c r="O16" s="44" t="e">
        <f t="shared" si="9"/>
        <v>#DIV/0!</v>
      </c>
      <c r="P16" s="44" t="e">
        <f t="shared" si="10"/>
        <v>#DIV/0!</v>
      </c>
      <c r="Q16" s="8" t="e">
        <f>$P16*'Spreading Cost ($ per hr)'!F$6*'Spreading Cost ($ per hr)'!C$8/(2*(IF('Spreading Cost ($ per hr)'!C$27=0,'Spreading Cost ($ per hr)'!C$23,'Spreading Cost ($ per hr)'!C$27)))</f>
        <v>#DIV/0!</v>
      </c>
      <c r="R16" s="2" t="e">
        <f>60*P16*'Spreading Cost ($ per hr)'!C$8/(2*(IF('Spreading Cost ($ per hr)'!C$27=0,'Spreading Cost ($ per hr)'!C$23,'Spreading Cost ($ per hr)'!C$27)))</f>
        <v>#DIV/0!</v>
      </c>
    </row>
    <row r="17" spans="1:18" ht="12.75">
      <c r="A17">
        <v>-50</v>
      </c>
      <c r="B17" s="4">
        <f t="shared" si="0"/>
        <v>0</v>
      </c>
      <c r="C17" s="44" t="e">
        <f t="shared" si="1"/>
        <v>#DIV/0!</v>
      </c>
      <c r="D17" s="4">
        <f t="shared" si="2"/>
        <v>0</v>
      </c>
      <c r="E17" s="44" t="e">
        <f t="shared" si="3"/>
        <v>#DIV/0!</v>
      </c>
      <c r="F17" s="4">
        <f t="shared" si="4"/>
        <v>0</v>
      </c>
      <c r="G17" s="44" t="e">
        <f t="shared" si="5"/>
        <v>#DIV/0!</v>
      </c>
      <c r="H17" s="4">
        <f>'Manure Value'!$D$21</f>
        <v>0</v>
      </c>
      <c r="I17" s="44" t="e">
        <f t="shared" si="6"/>
        <v>#DIV/0!</v>
      </c>
      <c r="J17" s="4">
        <f>'Manure Value'!$D$22</f>
        <v>0</v>
      </c>
      <c r="K17" s="44" t="e">
        <f t="shared" si="7"/>
        <v>#DIV/0!</v>
      </c>
      <c r="L17" s="4">
        <f>'Manure Value'!$D$23</f>
        <v>0</v>
      </c>
      <c r="M17" s="44" t="e">
        <f t="shared" si="8"/>
        <v>#DIV/0!</v>
      </c>
      <c r="N17" s="4">
        <f>'Manure Value'!$D$24</f>
        <v>0</v>
      </c>
      <c r="O17" s="44" t="e">
        <f t="shared" si="9"/>
        <v>#DIV/0!</v>
      </c>
      <c r="P17" s="44" t="e">
        <f t="shared" si="10"/>
        <v>#DIV/0!</v>
      </c>
      <c r="Q17" s="8" t="e">
        <f>$P17*'Spreading Cost ($ per hr)'!F$6*'Spreading Cost ($ per hr)'!C$8/(2*(IF('Spreading Cost ($ per hr)'!C$27=0,'Spreading Cost ($ per hr)'!C$23,'Spreading Cost ($ per hr)'!C$27)))</f>
        <v>#DIV/0!</v>
      </c>
      <c r="R17" s="2" t="e">
        <f>60*P17*'Spreading Cost ($ per hr)'!C$8/(2*(IF('Spreading Cost ($ per hr)'!C$27=0,'Spreading Cost ($ per hr)'!C$23,'Spreading Cost ($ per hr)'!C$27)))</f>
        <v>#DIV/0!</v>
      </c>
    </row>
    <row r="18" spans="1:18" ht="12.75">
      <c r="A18">
        <v>-40</v>
      </c>
      <c r="B18" s="4">
        <f t="shared" si="0"/>
        <v>0</v>
      </c>
      <c r="C18" s="44" t="e">
        <f t="shared" si="1"/>
        <v>#DIV/0!</v>
      </c>
      <c r="D18" s="4">
        <f t="shared" si="2"/>
        <v>0</v>
      </c>
      <c r="E18" s="44" t="e">
        <f t="shared" si="3"/>
        <v>#DIV/0!</v>
      </c>
      <c r="F18" s="4">
        <f t="shared" si="4"/>
        <v>0</v>
      </c>
      <c r="G18" s="44" t="e">
        <f t="shared" si="5"/>
        <v>#DIV/0!</v>
      </c>
      <c r="H18" s="4">
        <f>'Manure Value'!$D$21</f>
        <v>0</v>
      </c>
      <c r="I18" s="44" t="e">
        <f t="shared" si="6"/>
        <v>#DIV/0!</v>
      </c>
      <c r="J18" s="4">
        <f>'Manure Value'!$D$22</f>
        <v>0</v>
      </c>
      <c r="K18" s="44" t="e">
        <f t="shared" si="7"/>
        <v>#DIV/0!</v>
      </c>
      <c r="L18" s="4">
        <f>'Manure Value'!$D$23</f>
        <v>0</v>
      </c>
      <c r="M18" s="44" t="e">
        <f t="shared" si="8"/>
        <v>#DIV/0!</v>
      </c>
      <c r="N18" s="4">
        <f>'Manure Value'!$D$24</f>
        <v>0</v>
      </c>
      <c r="O18" s="44" t="e">
        <f t="shared" si="9"/>
        <v>#DIV/0!</v>
      </c>
      <c r="P18" s="44" t="e">
        <f t="shared" si="10"/>
        <v>#DIV/0!</v>
      </c>
      <c r="Q18" s="8" t="e">
        <f>$P18*'Spreading Cost ($ per hr)'!F$6*'Spreading Cost ($ per hr)'!C$8/(2*(IF('Spreading Cost ($ per hr)'!C$27=0,'Spreading Cost ($ per hr)'!C$23,'Spreading Cost ($ per hr)'!C$27)))</f>
        <v>#DIV/0!</v>
      </c>
      <c r="R18" s="2" t="e">
        <f>60*P18*'Spreading Cost ($ per hr)'!C$8/(2*(IF('Spreading Cost ($ per hr)'!C$27=0,'Spreading Cost ($ per hr)'!C$23,'Spreading Cost ($ per hr)'!C$27)))</f>
        <v>#DIV/0!</v>
      </c>
    </row>
    <row r="19" spans="1:18" ht="12.75">
      <c r="A19">
        <v>-30</v>
      </c>
      <c r="B19" s="4">
        <f t="shared" si="0"/>
        <v>0</v>
      </c>
      <c r="C19" s="44" t="e">
        <f t="shared" si="1"/>
        <v>#DIV/0!</v>
      </c>
      <c r="D19" s="4">
        <f t="shared" si="2"/>
        <v>0</v>
      </c>
      <c r="E19" s="44" t="e">
        <f t="shared" si="3"/>
        <v>#DIV/0!</v>
      </c>
      <c r="F19" s="4">
        <f t="shared" si="4"/>
        <v>0</v>
      </c>
      <c r="G19" s="44" t="e">
        <f t="shared" si="5"/>
        <v>#DIV/0!</v>
      </c>
      <c r="H19" s="4">
        <f>'Manure Value'!$D$21</f>
        <v>0</v>
      </c>
      <c r="I19" s="44" t="e">
        <f t="shared" si="6"/>
        <v>#DIV/0!</v>
      </c>
      <c r="J19" s="4">
        <f>'Manure Value'!$D$22</f>
        <v>0</v>
      </c>
      <c r="K19" s="44" t="e">
        <f t="shared" si="7"/>
        <v>#DIV/0!</v>
      </c>
      <c r="L19" s="4">
        <f>'Manure Value'!$D$23</f>
        <v>0</v>
      </c>
      <c r="M19" s="44" t="e">
        <f t="shared" si="8"/>
        <v>#DIV/0!</v>
      </c>
      <c r="N19" s="4">
        <f>'Manure Value'!$D$24</f>
        <v>0</v>
      </c>
      <c r="O19" s="44" t="e">
        <f t="shared" si="9"/>
        <v>#DIV/0!</v>
      </c>
      <c r="P19" s="44" t="e">
        <f t="shared" si="10"/>
        <v>#DIV/0!</v>
      </c>
      <c r="Q19" s="8" t="e">
        <f>$P19*'Spreading Cost ($ per hr)'!F$6*'Spreading Cost ($ per hr)'!C$8/(2*(IF('Spreading Cost ($ per hr)'!C$27=0,'Spreading Cost ($ per hr)'!C$23,'Spreading Cost ($ per hr)'!C$27)))</f>
        <v>#DIV/0!</v>
      </c>
      <c r="R19" s="2" t="e">
        <f>60*P19*'Spreading Cost ($ per hr)'!C$8/(2*(IF('Spreading Cost ($ per hr)'!C$27=0,'Spreading Cost ($ per hr)'!C$23,'Spreading Cost ($ per hr)'!C$27)))</f>
        <v>#DIV/0!</v>
      </c>
    </row>
    <row r="20" spans="1:18" ht="12.75">
      <c r="A20">
        <v>-20</v>
      </c>
      <c r="B20" s="4">
        <f t="shared" si="0"/>
        <v>0</v>
      </c>
      <c r="C20" s="44" t="e">
        <f t="shared" si="1"/>
        <v>#DIV/0!</v>
      </c>
      <c r="D20" s="4">
        <f t="shared" si="2"/>
        <v>0</v>
      </c>
      <c r="E20" s="44" t="e">
        <f t="shared" si="3"/>
        <v>#DIV/0!</v>
      </c>
      <c r="F20" s="4">
        <f t="shared" si="4"/>
        <v>0</v>
      </c>
      <c r="G20" s="44" t="e">
        <f t="shared" si="5"/>
        <v>#DIV/0!</v>
      </c>
      <c r="H20" s="4">
        <f>'Manure Value'!$D$21</f>
        <v>0</v>
      </c>
      <c r="I20" s="44" t="e">
        <f t="shared" si="6"/>
        <v>#DIV/0!</v>
      </c>
      <c r="J20" s="4">
        <f>'Manure Value'!$D$22</f>
        <v>0</v>
      </c>
      <c r="K20" s="44" t="e">
        <f t="shared" si="7"/>
        <v>#DIV/0!</v>
      </c>
      <c r="L20" s="4">
        <f>'Manure Value'!$D$23</f>
        <v>0</v>
      </c>
      <c r="M20" s="44" t="e">
        <f t="shared" si="8"/>
        <v>#DIV/0!</v>
      </c>
      <c r="N20" s="4">
        <f>'Manure Value'!$D$24</f>
        <v>0</v>
      </c>
      <c r="O20" s="44" t="e">
        <f t="shared" si="9"/>
        <v>#DIV/0!</v>
      </c>
      <c r="P20" s="44" t="e">
        <f t="shared" si="10"/>
        <v>#DIV/0!</v>
      </c>
      <c r="Q20" s="8" t="e">
        <f>$P20*'Spreading Cost ($ per hr)'!F$6*'Spreading Cost ($ per hr)'!C$8/(2*(IF('Spreading Cost ($ per hr)'!C$27=0,'Spreading Cost ($ per hr)'!C$23,'Spreading Cost ($ per hr)'!C$27)))</f>
        <v>#DIV/0!</v>
      </c>
      <c r="R20" s="2" t="e">
        <f>60*P20*'Spreading Cost ($ per hr)'!C$8/(2*(IF('Spreading Cost ($ per hr)'!C$27=0,'Spreading Cost ($ per hr)'!C$23,'Spreading Cost ($ per hr)'!C$27)))</f>
        <v>#DIV/0!</v>
      </c>
    </row>
    <row r="21" spans="1:18" ht="12.75">
      <c r="A21">
        <v>-10</v>
      </c>
      <c r="B21" s="4">
        <f>IF($B$22=0,($B$22+0),($B$22+A21))</f>
        <v>0</v>
      </c>
      <c r="C21" s="44" t="e">
        <f t="shared" si="1"/>
        <v>#DIV/0!</v>
      </c>
      <c r="D21" s="4">
        <f>IF($D$22=0,($D$22+0),($D$22+A21))</f>
        <v>0</v>
      </c>
      <c r="E21" s="44" t="e">
        <f t="shared" si="3"/>
        <v>#DIV/0!</v>
      </c>
      <c r="F21" s="4">
        <f>IF($F$22=0,($F$22+0),($F$22+A21))</f>
        <v>0</v>
      </c>
      <c r="G21" s="44" t="e">
        <f t="shared" si="5"/>
        <v>#DIV/0!</v>
      </c>
      <c r="H21" s="4">
        <f>'Manure Value'!$D$21</f>
        <v>0</v>
      </c>
      <c r="I21" s="44" t="e">
        <f t="shared" si="6"/>
        <v>#DIV/0!</v>
      </c>
      <c r="J21" s="4">
        <f>'Manure Value'!$D$22</f>
        <v>0</v>
      </c>
      <c r="K21" s="44" t="e">
        <f t="shared" si="7"/>
        <v>#DIV/0!</v>
      </c>
      <c r="L21" s="4">
        <f>'Manure Value'!$D$23</f>
        <v>0</v>
      </c>
      <c r="M21" s="44" t="e">
        <f t="shared" si="8"/>
        <v>#DIV/0!</v>
      </c>
      <c r="N21" s="4">
        <f>'Manure Value'!$D$24</f>
        <v>0</v>
      </c>
      <c r="O21" s="44" t="e">
        <f t="shared" si="9"/>
        <v>#DIV/0!</v>
      </c>
      <c r="P21" s="44" t="e">
        <f t="shared" si="10"/>
        <v>#DIV/0!</v>
      </c>
      <c r="Q21" s="8" t="e">
        <f>$P21*'Spreading Cost ($ per hr)'!F$6*'Spreading Cost ($ per hr)'!C$8/(2*(IF('Spreading Cost ($ per hr)'!C$27=0,'Spreading Cost ($ per hr)'!C$23,'Spreading Cost ($ per hr)'!C$27)))</f>
        <v>#DIV/0!</v>
      </c>
      <c r="R21" s="2" t="e">
        <f>60*P21*'Spreading Cost ($ per hr)'!C$8/(2*(IF('Spreading Cost ($ per hr)'!C$27=0,'Spreading Cost ($ per hr)'!C$23,'Spreading Cost ($ per hr)'!C$27)))</f>
        <v>#DIV/0!</v>
      </c>
    </row>
    <row r="22" spans="1:18" ht="12.75">
      <c r="A22" s="6">
        <v>0</v>
      </c>
      <c r="B22" s="43">
        <f>IF(E5=0,K4,E5)</f>
        <v>0</v>
      </c>
      <c r="C22" s="7" t="e">
        <f>IF(B$8=0,(B22/(10*(H$4+I$4+J$4))),(B22/(10*(B$5+C$5+D$5))))</f>
        <v>#DIV/0!</v>
      </c>
      <c r="D22" s="43">
        <f>IF(E4=0,K4,E4)</f>
        <v>0</v>
      </c>
      <c r="E22" s="7" t="e">
        <f>IF(C$8=0,(D22/(10*(H$4+I$4+J$4))),(D22/(10*(B$4+C$4+D$4))))</f>
        <v>#DIV/0!</v>
      </c>
      <c r="F22" s="6">
        <f>IF(E6=0,K4,E6)</f>
        <v>0</v>
      </c>
      <c r="G22" s="7" t="e">
        <f>IF(D$8=0,(F22/(10*(H$4+I$4+J$4))),(F22/(10*(B$6+C$6+D$6))))</f>
        <v>#DIV/0!</v>
      </c>
      <c r="H22" s="6">
        <f>'Manure Value'!$D$21</f>
        <v>0</v>
      </c>
      <c r="I22" s="7" t="e">
        <f>H22*C22</f>
        <v>#DIV/0!</v>
      </c>
      <c r="J22" s="6">
        <f>'Manure Value'!$D$22</f>
        <v>0</v>
      </c>
      <c r="K22" s="7" t="e">
        <f>J22*C22</f>
        <v>#DIV/0!</v>
      </c>
      <c r="L22" s="6">
        <f>'Manure Value'!$D$23</f>
        <v>0</v>
      </c>
      <c r="M22" s="7" t="e">
        <f>L22*E22</f>
        <v>#DIV/0!</v>
      </c>
      <c r="N22" s="6">
        <f>'Manure Value'!$D$24</f>
        <v>0</v>
      </c>
      <c r="O22" s="7" t="e">
        <f>N22*G22</f>
        <v>#DIV/0!</v>
      </c>
      <c r="P22" s="7" t="e">
        <f t="shared" si="10"/>
        <v>#DIV/0!</v>
      </c>
      <c r="Q22" s="74" t="e">
        <f>$P22*'Spreading Cost ($ per hr)'!F$6*'Spreading Cost ($ per hr)'!C$8/(2*(IF('Spreading Cost ($ per hr)'!C$27=0,'Spreading Cost ($ per hr)'!C$23,'Spreading Cost ($ per hr)'!C$27)))</f>
        <v>#DIV/0!</v>
      </c>
      <c r="R22" s="75" t="e">
        <f>60*P22*'Spreading Cost ($ per hr)'!C$8/(2*(IF('Spreading Cost ($ per hr)'!C$27=0,'Spreading Cost ($ per hr)'!C$23,'Spreading Cost ($ per hr)'!C$27)))</f>
        <v>#DIV/0!</v>
      </c>
    </row>
    <row r="23" spans="1:18" ht="12.75">
      <c r="A23">
        <v>10</v>
      </c>
      <c r="B23">
        <f>IF($B$22=0,($B$22+0),($B$22+A23))</f>
        <v>0</v>
      </c>
      <c r="C23" s="44" t="e">
        <f t="shared" si="1"/>
        <v>#DIV/0!</v>
      </c>
      <c r="D23" s="4">
        <f>IF($D$22=0,($D$22+0),($D$22+A23))</f>
        <v>0</v>
      </c>
      <c r="E23" s="44" t="e">
        <f aca="true" t="shared" si="11" ref="E23:E42">IF(C$8=0,(D23/(10*(H$4+I$4+J$4))),(D23/(10*(B$4+C$4+D$4))))</f>
        <v>#DIV/0!</v>
      </c>
      <c r="F23" s="4">
        <f>IF($F$22=0,($F$22+0),($F$22+A23))</f>
        <v>0</v>
      </c>
      <c r="G23" s="44" t="e">
        <f t="shared" si="5"/>
        <v>#DIV/0!</v>
      </c>
      <c r="H23" s="4">
        <f>'Manure Value'!$D$21</f>
        <v>0</v>
      </c>
      <c r="I23" s="44" t="e">
        <f t="shared" si="6"/>
        <v>#DIV/0!</v>
      </c>
      <c r="J23" s="4">
        <f>'Manure Value'!$D$22</f>
        <v>0</v>
      </c>
      <c r="K23" s="44" t="e">
        <f t="shared" si="7"/>
        <v>#DIV/0!</v>
      </c>
      <c r="L23" s="4">
        <f>'Manure Value'!$D$23</f>
        <v>0</v>
      </c>
      <c r="M23" s="44" t="e">
        <f t="shared" si="8"/>
        <v>#DIV/0!</v>
      </c>
      <c r="N23" s="4">
        <f>'Manure Value'!$D$24</f>
        <v>0</v>
      </c>
      <c r="O23" s="44" t="e">
        <f aca="true" t="shared" si="12" ref="O23:O42">N23*G23</f>
        <v>#DIV/0!</v>
      </c>
      <c r="P23" s="44" t="e">
        <f t="shared" si="10"/>
        <v>#DIV/0!</v>
      </c>
      <c r="Q23" s="8" t="e">
        <f>$P23*'Spreading Cost ($ per hr)'!F$6*'Spreading Cost ($ per hr)'!C$8/(2*(IF('Spreading Cost ($ per hr)'!C$27=0,'Spreading Cost ($ per hr)'!C$23,'Spreading Cost ($ per hr)'!C$27)))</f>
        <v>#DIV/0!</v>
      </c>
      <c r="R23" s="2" t="e">
        <f>60*P23*'Spreading Cost ($ per hr)'!C$8/(2*(IF('Spreading Cost ($ per hr)'!C$27=0,'Spreading Cost ($ per hr)'!C$23,'Spreading Cost ($ per hr)'!C$27)))</f>
        <v>#DIV/0!</v>
      </c>
    </row>
    <row r="24" spans="1:18" ht="12.75">
      <c r="A24">
        <v>20</v>
      </c>
      <c r="B24">
        <f aca="true" t="shared" si="13" ref="B24:B42">IF($B$22=0,($B$22+0),($B$22+A24))</f>
        <v>0</v>
      </c>
      <c r="C24" s="44" t="e">
        <f t="shared" si="1"/>
        <v>#DIV/0!</v>
      </c>
      <c r="D24" s="4">
        <f aca="true" t="shared" si="14" ref="D24:D42">IF($D$22=0,($D$22+0),($D$22+A24))</f>
        <v>0</v>
      </c>
      <c r="E24" s="44" t="e">
        <f t="shared" si="11"/>
        <v>#DIV/0!</v>
      </c>
      <c r="F24" s="4">
        <f aca="true" t="shared" si="15" ref="F24:F42">IF($F$22=0,($F$22+0),($F$22+A24))</f>
        <v>0</v>
      </c>
      <c r="G24" s="44" t="e">
        <f t="shared" si="5"/>
        <v>#DIV/0!</v>
      </c>
      <c r="H24" s="4">
        <f>'Manure Value'!$D$21</f>
        <v>0</v>
      </c>
      <c r="I24" s="44" t="e">
        <f t="shared" si="6"/>
        <v>#DIV/0!</v>
      </c>
      <c r="J24" s="4">
        <f>'Manure Value'!$D$22</f>
        <v>0</v>
      </c>
      <c r="K24" s="44" t="e">
        <f t="shared" si="7"/>
        <v>#DIV/0!</v>
      </c>
      <c r="L24" s="4">
        <f>'Manure Value'!$D$23</f>
        <v>0</v>
      </c>
      <c r="M24" s="44" t="e">
        <f t="shared" si="8"/>
        <v>#DIV/0!</v>
      </c>
      <c r="N24" s="4">
        <f>'Manure Value'!$D$24</f>
        <v>0</v>
      </c>
      <c r="O24" s="44" t="e">
        <f t="shared" si="12"/>
        <v>#DIV/0!</v>
      </c>
      <c r="P24" s="44" t="e">
        <f t="shared" si="10"/>
        <v>#DIV/0!</v>
      </c>
      <c r="Q24" s="8" t="e">
        <f>$P24*'Spreading Cost ($ per hr)'!F$6*'Spreading Cost ($ per hr)'!C$8/(2*(IF('Spreading Cost ($ per hr)'!C$27=0,'Spreading Cost ($ per hr)'!C$23,'Spreading Cost ($ per hr)'!C$27)))</f>
        <v>#DIV/0!</v>
      </c>
      <c r="R24" s="2" t="e">
        <f>60*P24*'Spreading Cost ($ per hr)'!C$8/(2*(IF('Spreading Cost ($ per hr)'!C$27=0,'Spreading Cost ($ per hr)'!C$23,'Spreading Cost ($ per hr)'!C$27)))</f>
        <v>#DIV/0!</v>
      </c>
    </row>
    <row r="25" spans="1:18" ht="12.75">
      <c r="A25">
        <v>30</v>
      </c>
      <c r="B25">
        <f t="shared" si="13"/>
        <v>0</v>
      </c>
      <c r="C25" s="44" t="e">
        <f t="shared" si="1"/>
        <v>#DIV/0!</v>
      </c>
      <c r="D25" s="4">
        <f t="shared" si="14"/>
        <v>0</v>
      </c>
      <c r="E25" s="44" t="e">
        <f t="shared" si="11"/>
        <v>#DIV/0!</v>
      </c>
      <c r="F25" s="4">
        <f t="shared" si="15"/>
        <v>0</v>
      </c>
      <c r="G25" s="44" t="e">
        <f t="shared" si="5"/>
        <v>#DIV/0!</v>
      </c>
      <c r="H25" s="4">
        <f>'Manure Value'!$D$21</f>
        <v>0</v>
      </c>
      <c r="I25" s="44" t="e">
        <f t="shared" si="6"/>
        <v>#DIV/0!</v>
      </c>
      <c r="J25" s="4">
        <f>'Manure Value'!$D$22</f>
        <v>0</v>
      </c>
      <c r="K25" s="44" t="e">
        <f t="shared" si="7"/>
        <v>#DIV/0!</v>
      </c>
      <c r="L25" s="4">
        <f>'Manure Value'!$D$23</f>
        <v>0</v>
      </c>
      <c r="M25" s="44" t="e">
        <f t="shared" si="8"/>
        <v>#DIV/0!</v>
      </c>
      <c r="N25" s="4">
        <f>'Manure Value'!$D$24</f>
        <v>0</v>
      </c>
      <c r="O25" s="44" t="e">
        <f t="shared" si="12"/>
        <v>#DIV/0!</v>
      </c>
      <c r="P25" s="44" t="e">
        <f t="shared" si="10"/>
        <v>#DIV/0!</v>
      </c>
      <c r="Q25" s="8" t="e">
        <f>$P25*'Spreading Cost ($ per hr)'!F$6*'Spreading Cost ($ per hr)'!C$8/(2*(IF('Spreading Cost ($ per hr)'!C$27=0,'Spreading Cost ($ per hr)'!C$23,'Spreading Cost ($ per hr)'!C$27)))</f>
        <v>#DIV/0!</v>
      </c>
      <c r="R25" s="2" t="e">
        <f>60*P25*'Spreading Cost ($ per hr)'!C$8/(2*(IF('Spreading Cost ($ per hr)'!C$27=0,'Spreading Cost ($ per hr)'!C$23,'Spreading Cost ($ per hr)'!C$27)))</f>
        <v>#DIV/0!</v>
      </c>
    </row>
    <row r="26" spans="1:18" ht="12.75">
      <c r="A26">
        <v>40</v>
      </c>
      <c r="B26">
        <f t="shared" si="13"/>
        <v>0</v>
      </c>
      <c r="C26" s="44" t="e">
        <f t="shared" si="1"/>
        <v>#DIV/0!</v>
      </c>
      <c r="D26" s="4">
        <f t="shared" si="14"/>
        <v>0</v>
      </c>
      <c r="E26" s="44" t="e">
        <f t="shared" si="11"/>
        <v>#DIV/0!</v>
      </c>
      <c r="F26" s="4">
        <f t="shared" si="15"/>
        <v>0</v>
      </c>
      <c r="G26" s="44" t="e">
        <f t="shared" si="5"/>
        <v>#DIV/0!</v>
      </c>
      <c r="H26" s="4">
        <f>'Manure Value'!$D$21</f>
        <v>0</v>
      </c>
      <c r="I26" s="44" t="e">
        <f t="shared" si="6"/>
        <v>#DIV/0!</v>
      </c>
      <c r="J26" s="4">
        <f>'Manure Value'!$D$22</f>
        <v>0</v>
      </c>
      <c r="K26" s="44" t="e">
        <f t="shared" si="7"/>
        <v>#DIV/0!</v>
      </c>
      <c r="L26" s="4">
        <f>'Manure Value'!$D$23</f>
        <v>0</v>
      </c>
      <c r="M26" s="44" t="e">
        <f t="shared" si="8"/>
        <v>#DIV/0!</v>
      </c>
      <c r="N26" s="4">
        <f>'Manure Value'!$D$24</f>
        <v>0</v>
      </c>
      <c r="O26" s="44" t="e">
        <f t="shared" si="12"/>
        <v>#DIV/0!</v>
      </c>
      <c r="P26" s="44" t="e">
        <f t="shared" si="10"/>
        <v>#DIV/0!</v>
      </c>
      <c r="Q26" s="8" t="e">
        <f>$P26*'Spreading Cost ($ per hr)'!F$6*'Spreading Cost ($ per hr)'!C$8/(2*(IF('Spreading Cost ($ per hr)'!C$27=0,'Spreading Cost ($ per hr)'!C$23,'Spreading Cost ($ per hr)'!C$27)))</f>
        <v>#DIV/0!</v>
      </c>
      <c r="R26" s="2" t="e">
        <f>60*P26*'Spreading Cost ($ per hr)'!C$8/(2*(IF('Spreading Cost ($ per hr)'!C$27=0,'Spreading Cost ($ per hr)'!C$23,'Spreading Cost ($ per hr)'!C$27)))</f>
        <v>#DIV/0!</v>
      </c>
    </row>
    <row r="27" spans="1:18" ht="12.75">
      <c r="A27">
        <v>50</v>
      </c>
      <c r="B27">
        <f t="shared" si="13"/>
        <v>0</v>
      </c>
      <c r="C27" s="44" t="e">
        <f t="shared" si="1"/>
        <v>#DIV/0!</v>
      </c>
      <c r="D27" s="4">
        <f t="shared" si="14"/>
        <v>0</v>
      </c>
      <c r="E27" s="44" t="e">
        <f t="shared" si="11"/>
        <v>#DIV/0!</v>
      </c>
      <c r="F27" s="4">
        <f t="shared" si="15"/>
        <v>0</v>
      </c>
      <c r="G27" s="44" t="e">
        <f t="shared" si="5"/>
        <v>#DIV/0!</v>
      </c>
      <c r="H27" s="4">
        <f>'Manure Value'!$D$21</f>
        <v>0</v>
      </c>
      <c r="I27" s="44" t="e">
        <f t="shared" si="6"/>
        <v>#DIV/0!</v>
      </c>
      <c r="J27" s="4">
        <f>'Manure Value'!$D$22</f>
        <v>0</v>
      </c>
      <c r="K27" s="44" t="e">
        <f t="shared" si="7"/>
        <v>#DIV/0!</v>
      </c>
      <c r="L27" s="4">
        <f>'Manure Value'!$D$23</f>
        <v>0</v>
      </c>
      <c r="M27" s="44" t="e">
        <f t="shared" si="8"/>
        <v>#DIV/0!</v>
      </c>
      <c r="N27" s="4">
        <f>'Manure Value'!$D$24</f>
        <v>0</v>
      </c>
      <c r="O27" s="44" t="e">
        <f t="shared" si="12"/>
        <v>#DIV/0!</v>
      </c>
      <c r="P27" s="44" t="e">
        <f t="shared" si="10"/>
        <v>#DIV/0!</v>
      </c>
      <c r="Q27" s="8" t="e">
        <f>$P27*'Spreading Cost ($ per hr)'!F$6*'Spreading Cost ($ per hr)'!C$8/(2*(IF('Spreading Cost ($ per hr)'!C$27=0,'Spreading Cost ($ per hr)'!C$23,'Spreading Cost ($ per hr)'!C$27)))</f>
        <v>#DIV/0!</v>
      </c>
      <c r="R27" s="2" t="e">
        <f>60*P27*'Spreading Cost ($ per hr)'!C$8/(2*(IF('Spreading Cost ($ per hr)'!C$27=0,'Spreading Cost ($ per hr)'!C$23,'Spreading Cost ($ per hr)'!C$27)))</f>
        <v>#DIV/0!</v>
      </c>
    </row>
    <row r="28" spans="1:18" ht="12.75">
      <c r="A28">
        <v>60</v>
      </c>
      <c r="B28">
        <f t="shared" si="13"/>
        <v>0</v>
      </c>
      <c r="C28" s="44" t="e">
        <f t="shared" si="1"/>
        <v>#DIV/0!</v>
      </c>
      <c r="D28" s="4">
        <f t="shared" si="14"/>
        <v>0</v>
      </c>
      <c r="E28" s="44" t="e">
        <f t="shared" si="11"/>
        <v>#DIV/0!</v>
      </c>
      <c r="F28" s="4">
        <f t="shared" si="15"/>
        <v>0</v>
      </c>
      <c r="G28" s="44" t="e">
        <f t="shared" si="5"/>
        <v>#DIV/0!</v>
      </c>
      <c r="H28" s="4">
        <f>'Manure Value'!$D$21</f>
        <v>0</v>
      </c>
      <c r="I28" s="44" t="e">
        <f t="shared" si="6"/>
        <v>#DIV/0!</v>
      </c>
      <c r="J28" s="4">
        <f>'Manure Value'!$D$22</f>
        <v>0</v>
      </c>
      <c r="K28" s="44" t="e">
        <f t="shared" si="7"/>
        <v>#DIV/0!</v>
      </c>
      <c r="L28" s="4">
        <f>'Manure Value'!$D$23</f>
        <v>0</v>
      </c>
      <c r="M28" s="44" t="e">
        <f t="shared" si="8"/>
        <v>#DIV/0!</v>
      </c>
      <c r="N28" s="4">
        <f>'Manure Value'!$D$24</f>
        <v>0</v>
      </c>
      <c r="O28" s="44" t="e">
        <f t="shared" si="12"/>
        <v>#DIV/0!</v>
      </c>
      <c r="P28" s="44" t="e">
        <f t="shared" si="10"/>
        <v>#DIV/0!</v>
      </c>
      <c r="Q28" s="8" t="e">
        <f>$P28*'Spreading Cost ($ per hr)'!F$6*'Spreading Cost ($ per hr)'!C$8/(2*(IF('Spreading Cost ($ per hr)'!C$27=0,'Spreading Cost ($ per hr)'!C$23,'Spreading Cost ($ per hr)'!C$27)))</f>
        <v>#DIV/0!</v>
      </c>
      <c r="R28" s="2" t="e">
        <f>60*P28*'Spreading Cost ($ per hr)'!C$8/(2*(IF('Spreading Cost ($ per hr)'!C$27=0,'Spreading Cost ($ per hr)'!C$23,'Spreading Cost ($ per hr)'!C$27)))</f>
        <v>#DIV/0!</v>
      </c>
    </row>
    <row r="29" spans="1:18" ht="12.75">
      <c r="A29">
        <v>70</v>
      </c>
      <c r="B29">
        <f t="shared" si="13"/>
        <v>0</v>
      </c>
      <c r="C29" s="44" t="e">
        <f t="shared" si="1"/>
        <v>#DIV/0!</v>
      </c>
      <c r="D29" s="4">
        <f t="shared" si="14"/>
        <v>0</v>
      </c>
      <c r="E29" s="44" t="e">
        <f t="shared" si="11"/>
        <v>#DIV/0!</v>
      </c>
      <c r="F29" s="4">
        <f t="shared" si="15"/>
        <v>0</v>
      </c>
      <c r="G29" s="44" t="e">
        <f t="shared" si="5"/>
        <v>#DIV/0!</v>
      </c>
      <c r="H29" s="4">
        <f>'Manure Value'!$D$21</f>
        <v>0</v>
      </c>
      <c r="I29" s="44" t="e">
        <f t="shared" si="6"/>
        <v>#DIV/0!</v>
      </c>
      <c r="J29" s="4">
        <f>'Manure Value'!$D$22</f>
        <v>0</v>
      </c>
      <c r="K29" s="44" t="e">
        <f t="shared" si="7"/>
        <v>#DIV/0!</v>
      </c>
      <c r="L29" s="4">
        <f>'Manure Value'!$D$23</f>
        <v>0</v>
      </c>
      <c r="M29" s="44" t="e">
        <f t="shared" si="8"/>
        <v>#DIV/0!</v>
      </c>
      <c r="N29" s="4">
        <f>'Manure Value'!$D$24</f>
        <v>0</v>
      </c>
      <c r="O29" s="44" t="e">
        <f t="shared" si="12"/>
        <v>#DIV/0!</v>
      </c>
      <c r="P29" s="44" t="e">
        <f t="shared" si="10"/>
        <v>#DIV/0!</v>
      </c>
      <c r="Q29" s="8" t="e">
        <f>$P29*'Spreading Cost ($ per hr)'!F$6*'Spreading Cost ($ per hr)'!C$8/(2*(IF('Spreading Cost ($ per hr)'!C$27=0,'Spreading Cost ($ per hr)'!C$23,'Spreading Cost ($ per hr)'!C$27)))</f>
        <v>#DIV/0!</v>
      </c>
      <c r="R29" s="2" t="e">
        <f>60*P29*'Spreading Cost ($ per hr)'!C$8/(2*(IF('Spreading Cost ($ per hr)'!C$27=0,'Spreading Cost ($ per hr)'!C$23,'Spreading Cost ($ per hr)'!C$27)))</f>
        <v>#DIV/0!</v>
      </c>
    </row>
    <row r="30" spans="1:18" ht="12.75">
      <c r="A30">
        <v>80</v>
      </c>
      <c r="B30">
        <f t="shared" si="13"/>
        <v>0</v>
      </c>
      <c r="C30" s="44" t="e">
        <f t="shared" si="1"/>
        <v>#DIV/0!</v>
      </c>
      <c r="D30" s="4">
        <f t="shared" si="14"/>
        <v>0</v>
      </c>
      <c r="E30" s="44" t="e">
        <f t="shared" si="11"/>
        <v>#DIV/0!</v>
      </c>
      <c r="F30" s="4">
        <f t="shared" si="15"/>
        <v>0</v>
      </c>
      <c r="G30" s="44" t="e">
        <f t="shared" si="5"/>
        <v>#DIV/0!</v>
      </c>
      <c r="H30" s="4">
        <f>'Manure Value'!$D$21</f>
        <v>0</v>
      </c>
      <c r="I30" s="44" t="e">
        <f t="shared" si="6"/>
        <v>#DIV/0!</v>
      </c>
      <c r="J30" s="4">
        <f>'Manure Value'!$D$22</f>
        <v>0</v>
      </c>
      <c r="K30" s="44" t="e">
        <f t="shared" si="7"/>
        <v>#DIV/0!</v>
      </c>
      <c r="L30" s="4">
        <f>'Manure Value'!$D$23</f>
        <v>0</v>
      </c>
      <c r="M30" s="44" t="e">
        <f t="shared" si="8"/>
        <v>#DIV/0!</v>
      </c>
      <c r="N30" s="4">
        <f>'Manure Value'!$D$24</f>
        <v>0</v>
      </c>
      <c r="O30" s="44" t="e">
        <f t="shared" si="12"/>
        <v>#DIV/0!</v>
      </c>
      <c r="P30" s="44" t="e">
        <f t="shared" si="10"/>
        <v>#DIV/0!</v>
      </c>
      <c r="Q30" s="8" t="e">
        <f>$P30*'Spreading Cost ($ per hr)'!F$6*'Spreading Cost ($ per hr)'!C$8/(2*(IF('Spreading Cost ($ per hr)'!C$27=0,'Spreading Cost ($ per hr)'!C$23,'Spreading Cost ($ per hr)'!C$27)))</f>
        <v>#DIV/0!</v>
      </c>
      <c r="R30" s="2" t="e">
        <f>60*P30*'Spreading Cost ($ per hr)'!C$8/(2*(IF('Spreading Cost ($ per hr)'!C$27=0,'Spreading Cost ($ per hr)'!C$23,'Spreading Cost ($ per hr)'!C$27)))</f>
        <v>#DIV/0!</v>
      </c>
    </row>
    <row r="31" spans="1:18" ht="12.75">
      <c r="A31">
        <v>90</v>
      </c>
      <c r="B31">
        <f t="shared" si="13"/>
        <v>0</v>
      </c>
      <c r="C31" s="44" t="e">
        <f t="shared" si="1"/>
        <v>#DIV/0!</v>
      </c>
      <c r="D31" s="4">
        <f t="shared" si="14"/>
        <v>0</v>
      </c>
      <c r="E31" s="44" t="e">
        <f t="shared" si="11"/>
        <v>#DIV/0!</v>
      </c>
      <c r="F31" s="4">
        <f t="shared" si="15"/>
        <v>0</v>
      </c>
      <c r="G31" s="44" t="e">
        <f t="shared" si="5"/>
        <v>#DIV/0!</v>
      </c>
      <c r="H31" s="4">
        <f>'Manure Value'!$D$21</f>
        <v>0</v>
      </c>
      <c r="I31" s="44" t="e">
        <f t="shared" si="6"/>
        <v>#DIV/0!</v>
      </c>
      <c r="J31" s="4">
        <f>'Manure Value'!$D$22</f>
        <v>0</v>
      </c>
      <c r="K31" s="44" t="e">
        <f t="shared" si="7"/>
        <v>#DIV/0!</v>
      </c>
      <c r="L31" s="4">
        <f>'Manure Value'!$D$23</f>
        <v>0</v>
      </c>
      <c r="M31" s="44" t="e">
        <f t="shared" si="8"/>
        <v>#DIV/0!</v>
      </c>
      <c r="N31" s="4">
        <f>'Manure Value'!$D$24</f>
        <v>0</v>
      </c>
      <c r="O31" s="44" t="e">
        <f t="shared" si="12"/>
        <v>#DIV/0!</v>
      </c>
      <c r="P31" s="44" t="e">
        <f t="shared" si="10"/>
        <v>#DIV/0!</v>
      </c>
      <c r="Q31" s="8" t="e">
        <f>$P31*'Spreading Cost ($ per hr)'!F$6*'Spreading Cost ($ per hr)'!C$8/(2*(IF('Spreading Cost ($ per hr)'!C$27=0,'Spreading Cost ($ per hr)'!C$23,'Spreading Cost ($ per hr)'!C$27)))</f>
        <v>#DIV/0!</v>
      </c>
      <c r="R31" s="2" t="e">
        <f>60*P31*'Spreading Cost ($ per hr)'!C$8/(2*(IF('Spreading Cost ($ per hr)'!C$27=0,'Spreading Cost ($ per hr)'!C$23,'Spreading Cost ($ per hr)'!C$27)))</f>
        <v>#DIV/0!</v>
      </c>
    </row>
    <row r="32" spans="1:18" ht="12.75">
      <c r="A32">
        <v>100</v>
      </c>
      <c r="B32">
        <f t="shared" si="13"/>
        <v>0</v>
      </c>
      <c r="C32" s="44" t="e">
        <f t="shared" si="1"/>
        <v>#DIV/0!</v>
      </c>
      <c r="D32" s="4">
        <f t="shared" si="14"/>
        <v>0</v>
      </c>
      <c r="E32" s="44" t="e">
        <f t="shared" si="11"/>
        <v>#DIV/0!</v>
      </c>
      <c r="F32" s="4">
        <f t="shared" si="15"/>
        <v>0</v>
      </c>
      <c r="G32" s="44" t="e">
        <f t="shared" si="5"/>
        <v>#DIV/0!</v>
      </c>
      <c r="H32" s="4">
        <f>'Manure Value'!$D$21</f>
        <v>0</v>
      </c>
      <c r="I32" s="44" t="e">
        <f t="shared" si="6"/>
        <v>#DIV/0!</v>
      </c>
      <c r="J32" s="4">
        <f>'Manure Value'!$D$22</f>
        <v>0</v>
      </c>
      <c r="K32" s="44" t="e">
        <f t="shared" si="7"/>
        <v>#DIV/0!</v>
      </c>
      <c r="L32" s="4">
        <f>'Manure Value'!$D$23</f>
        <v>0</v>
      </c>
      <c r="M32" s="44" t="e">
        <f t="shared" si="8"/>
        <v>#DIV/0!</v>
      </c>
      <c r="N32" s="4">
        <f>'Manure Value'!$D$24</f>
        <v>0</v>
      </c>
      <c r="O32" s="44" t="e">
        <f t="shared" si="12"/>
        <v>#DIV/0!</v>
      </c>
      <c r="P32" s="44" t="e">
        <f t="shared" si="10"/>
        <v>#DIV/0!</v>
      </c>
      <c r="Q32" s="8" t="e">
        <f>$P32*'Spreading Cost ($ per hr)'!F$6*'Spreading Cost ($ per hr)'!C$8/(2*(IF('Spreading Cost ($ per hr)'!C$27=0,'Spreading Cost ($ per hr)'!C$23,'Spreading Cost ($ per hr)'!C$27)))</f>
        <v>#DIV/0!</v>
      </c>
      <c r="R32" s="2" t="e">
        <f>60*P32*'Spreading Cost ($ per hr)'!C$8/(2*(IF('Spreading Cost ($ per hr)'!C$27=0,'Spreading Cost ($ per hr)'!C$23,'Spreading Cost ($ per hr)'!C$27)))</f>
        <v>#DIV/0!</v>
      </c>
    </row>
    <row r="33" spans="1:18" ht="12.75">
      <c r="A33">
        <v>110</v>
      </c>
      <c r="B33">
        <f t="shared" si="13"/>
        <v>0</v>
      </c>
      <c r="C33" s="44" t="e">
        <f t="shared" si="1"/>
        <v>#DIV/0!</v>
      </c>
      <c r="D33" s="4">
        <f t="shared" si="14"/>
        <v>0</v>
      </c>
      <c r="E33" s="44" t="e">
        <f t="shared" si="11"/>
        <v>#DIV/0!</v>
      </c>
      <c r="F33" s="4">
        <f t="shared" si="15"/>
        <v>0</v>
      </c>
      <c r="G33" s="44" t="e">
        <f t="shared" si="5"/>
        <v>#DIV/0!</v>
      </c>
      <c r="H33" s="4">
        <f>'Manure Value'!$D$21</f>
        <v>0</v>
      </c>
      <c r="I33" s="44" t="e">
        <f t="shared" si="6"/>
        <v>#DIV/0!</v>
      </c>
      <c r="J33" s="4">
        <f>'Manure Value'!$D$22</f>
        <v>0</v>
      </c>
      <c r="K33" s="44" t="e">
        <f t="shared" si="7"/>
        <v>#DIV/0!</v>
      </c>
      <c r="L33" s="4">
        <f>'Manure Value'!$D$23</f>
        <v>0</v>
      </c>
      <c r="M33" s="44" t="e">
        <f t="shared" si="8"/>
        <v>#DIV/0!</v>
      </c>
      <c r="N33" s="4">
        <f>'Manure Value'!$D$24</f>
        <v>0</v>
      </c>
      <c r="O33" s="44" t="e">
        <f t="shared" si="12"/>
        <v>#DIV/0!</v>
      </c>
      <c r="P33" s="44" t="e">
        <f t="shared" si="10"/>
        <v>#DIV/0!</v>
      </c>
      <c r="Q33" s="8" t="e">
        <f>$P33*'Spreading Cost ($ per hr)'!F$6*'Spreading Cost ($ per hr)'!C$8/(2*(IF('Spreading Cost ($ per hr)'!C$27=0,'Spreading Cost ($ per hr)'!C$23,'Spreading Cost ($ per hr)'!C$27)))</f>
        <v>#DIV/0!</v>
      </c>
      <c r="R33" s="2" t="e">
        <f>60*P33*'Spreading Cost ($ per hr)'!C$8/(2*(IF('Spreading Cost ($ per hr)'!C$27=0,'Spreading Cost ($ per hr)'!C$23,'Spreading Cost ($ per hr)'!C$27)))</f>
        <v>#DIV/0!</v>
      </c>
    </row>
    <row r="34" spans="1:18" ht="12.75">
      <c r="A34">
        <v>120</v>
      </c>
      <c r="B34">
        <f t="shared" si="13"/>
        <v>0</v>
      </c>
      <c r="C34" s="44" t="e">
        <f t="shared" si="1"/>
        <v>#DIV/0!</v>
      </c>
      <c r="D34" s="4">
        <f t="shared" si="14"/>
        <v>0</v>
      </c>
      <c r="E34" s="44" t="e">
        <f t="shared" si="11"/>
        <v>#DIV/0!</v>
      </c>
      <c r="F34" s="4">
        <f t="shared" si="15"/>
        <v>0</v>
      </c>
      <c r="G34" s="44" t="e">
        <f t="shared" si="5"/>
        <v>#DIV/0!</v>
      </c>
      <c r="H34" s="4">
        <f>'Manure Value'!$D$21</f>
        <v>0</v>
      </c>
      <c r="I34" s="44" t="e">
        <f t="shared" si="6"/>
        <v>#DIV/0!</v>
      </c>
      <c r="J34" s="4">
        <f>'Manure Value'!$D$22</f>
        <v>0</v>
      </c>
      <c r="K34" s="44" t="e">
        <f t="shared" si="7"/>
        <v>#DIV/0!</v>
      </c>
      <c r="L34" s="4">
        <f>'Manure Value'!$D$23</f>
        <v>0</v>
      </c>
      <c r="M34" s="44" t="e">
        <f t="shared" si="8"/>
        <v>#DIV/0!</v>
      </c>
      <c r="N34" s="4">
        <f>'Manure Value'!$D$24</f>
        <v>0</v>
      </c>
      <c r="O34" s="44" t="e">
        <f t="shared" si="12"/>
        <v>#DIV/0!</v>
      </c>
      <c r="P34" s="44" t="e">
        <f t="shared" si="10"/>
        <v>#DIV/0!</v>
      </c>
      <c r="Q34" s="8" t="e">
        <f>$P34*'Spreading Cost ($ per hr)'!F$6*'Spreading Cost ($ per hr)'!C$8/(2*(IF('Spreading Cost ($ per hr)'!C$27=0,'Spreading Cost ($ per hr)'!C$23,'Spreading Cost ($ per hr)'!C$27)))</f>
        <v>#DIV/0!</v>
      </c>
      <c r="R34" s="2" t="e">
        <f>60*P34*'Spreading Cost ($ per hr)'!C$8/(2*(IF('Spreading Cost ($ per hr)'!C$27=0,'Spreading Cost ($ per hr)'!C$23,'Spreading Cost ($ per hr)'!C$27)))</f>
        <v>#DIV/0!</v>
      </c>
    </row>
    <row r="35" spans="1:18" ht="12.75">
      <c r="A35">
        <v>130</v>
      </c>
      <c r="B35">
        <f t="shared" si="13"/>
        <v>0</v>
      </c>
      <c r="C35" s="44" t="e">
        <f t="shared" si="1"/>
        <v>#DIV/0!</v>
      </c>
      <c r="D35" s="4">
        <f t="shared" si="14"/>
        <v>0</v>
      </c>
      <c r="E35" s="44" t="e">
        <f t="shared" si="11"/>
        <v>#DIV/0!</v>
      </c>
      <c r="F35" s="4">
        <f t="shared" si="15"/>
        <v>0</v>
      </c>
      <c r="G35" s="44" t="e">
        <f t="shared" si="5"/>
        <v>#DIV/0!</v>
      </c>
      <c r="H35" s="4">
        <f>'Manure Value'!$D$21</f>
        <v>0</v>
      </c>
      <c r="I35" s="44" t="e">
        <f t="shared" si="6"/>
        <v>#DIV/0!</v>
      </c>
      <c r="J35" s="4">
        <f>'Manure Value'!$D$22</f>
        <v>0</v>
      </c>
      <c r="K35" s="44" t="e">
        <f t="shared" si="7"/>
        <v>#DIV/0!</v>
      </c>
      <c r="L35" s="4">
        <f>'Manure Value'!$D$23</f>
        <v>0</v>
      </c>
      <c r="M35" s="44" t="e">
        <f t="shared" si="8"/>
        <v>#DIV/0!</v>
      </c>
      <c r="N35" s="4">
        <f>'Manure Value'!$D$24</f>
        <v>0</v>
      </c>
      <c r="O35" s="44" t="e">
        <f t="shared" si="12"/>
        <v>#DIV/0!</v>
      </c>
      <c r="P35" s="44" t="e">
        <f t="shared" si="10"/>
        <v>#DIV/0!</v>
      </c>
      <c r="Q35" s="8" t="e">
        <f>$P35*'Spreading Cost ($ per hr)'!F$6*'Spreading Cost ($ per hr)'!C$8/(2*(IF('Spreading Cost ($ per hr)'!C$27=0,'Spreading Cost ($ per hr)'!C$23,'Spreading Cost ($ per hr)'!C$27)))</f>
        <v>#DIV/0!</v>
      </c>
      <c r="R35" s="2" t="e">
        <f>60*P35*'Spreading Cost ($ per hr)'!C$8/(2*(IF('Spreading Cost ($ per hr)'!C$27=0,'Spreading Cost ($ per hr)'!C$23,'Spreading Cost ($ per hr)'!C$27)))</f>
        <v>#DIV/0!</v>
      </c>
    </row>
    <row r="36" spans="1:18" ht="12.75">
      <c r="A36">
        <v>140</v>
      </c>
      <c r="B36">
        <f t="shared" si="13"/>
        <v>0</v>
      </c>
      <c r="C36" s="44" t="e">
        <f t="shared" si="1"/>
        <v>#DIV/0!</v>
      </c>
      <c r="D36" s="4">
        <f t="shared" si="14"/>
        <v>0</v>
      </c>
      <c r="E36" s="44" t="e">
        <f t="shared" si="11"/>
        <v>#DIV/0!</v>
      </c>
      <c r="F36" s="4">
        <f t="shared" si="15"/>
        <v>0</v>
      </c>
      <c r="G36" s="44" t="e">
        <f t="shared" si="5"/>
        <v>#DIV/0!</v>
      </c>
      <c r="H36" s="4">
        <f>'Manure Value'!$D$21</f>
        <v>0</v>
      </c>
      <c r="I36" s="44" t="e">
        <f t="shared" si="6"/>
        <v>#DIV/0!</v>
      </c>
      <c r="J36" s="4">
        <f>'Manure Value'!$D$22</f>
        <v>0</v>
      </c>
      <c r="K36" s="44" t="e">
        <f t="shared" si="7"/>
        <v>#DIV/0!</v>
      </c>
      <c r="L36" s="4">
        <f>'Manure Value'!$D$23</f>
        <v>0</v>
      </c>
      <c r="M36" s="44" t="e">
        <f t="shared" si="8"/>
        <v>#DIV/0!</v>
      </c>
      <c r="N36" s="4">
        <f>'Manure Value'!$D$24</f>
        <v>0</v>
      </c>
      <c r="O36" s="44" t="e">
        <f t="shared" si="12"/>
        <v>#DIV/0!</v>
      </c>
      <c r="P36" s="44" t="e">
        <f t="shared" si="10"/>
        <v>#DIV/0!</v>
      </c>
      <c r="Q36" s="8" t="e">
        <f>$P36*'Spreading Cost ($ per hr)'!F$6*'Spreading Cost ($ per hr)'!C$8/(2*(IF('Spreading Cost ($ per hr)'!C$27=0,'Spreading Cost ($ per hr)'!C$23,'Spreading Cost ($ per hr)'!C$27)))</f>
        <v>#DIV/0!</v>
      </c>
      <c r="R36" s="2" t="e">
        <f>60*P36*'Spreading Cost ($ per hr)'!C$8/(2*(IF('Spreading Cost ($ per hr)'!C$27=0,'Spreading Cost ($ per hr)'!C$23,'Spreading Cost ($ per hr)'!C$27)))</f>
        <v>#DIV/0!</v>
      </c>
    </row>
    <row r="37" spans="1:18" ht="12.75">
      <c r="A37">
        <v>150</v>
      </c>
      <c r="B37">
        <f t="shared" si="13"/>
        <v>0</v>
      </c>
      <c r="C37" s="44" t="e">
        <f t="shared" si="1"/>
        <v>#DIV/0!</v>
      </c>
      <c r="D37" s="4">
        <f t="shared" si="14"/>
        <v>0</v>
      </c>
      <c r="E37" s="44" t="e">
        <f t="shared" si="11"/>
        <v>#DIV/0!</v>
      </c>
      <c r="F37" s="4">
        <f t="shared" si="15"/>
        <v>0</v>
      </c>
      <c r="G37" s="44" t="e">
        <f t="shared" si="5"/>
        <v>#DIV/0!</v>
      </c>
      <c r="H37" s="4">
        <f>'Manure Value'!$D$21</f>
        <v>0</v>
      </c>
      <c r="I37" s="44" t="e">
        <f t="shared" si="6"/>
        <v>#DIV/0!</v>
      </c>
      <c r="J37" s="4">
        <f>'Manure Value'!$D$22</f>
        <v>0</v>
      </c>
      <c r="K37" s="44" t="e">
        <f t="shared" si="7"/>
        <v>#DIV/0!</v>
      </c>
      <c r="L37" s="4">
        <f>'Manure Value'!$D$23</f>
        <v>0</v>
      </c>
      <c r="M37" s="44" t="e">
        <f t="shared" si="8"/>
        <v>#DIV/0!</v>
      </c>
      <c r="N37" s="4">
        <f>'Manure Value'!$D$24</f>
        <v>0</v>
      </c>
      <c r="O37" s="44" t="e">
        <f t="shared" si="12"/>
        <v>#DIV/0!</v>
      </c>
      <c r="P37" s="44" t="e">
        <f t="shared" si="10"/>
        <v>#DIV/0!</v>
      </c>
      <c r="Q37" s="8" t="e">
        <f>$P37*'Spreading Cost ($ per hr)'!F$6*'Spreading Cost ($ per hr)'!C$8/(2*(IF('Spreading Cost ($ per hr)'!C$27=0,'Spreading Cost ($ per hr)'!C$23,'Spreading Cost ($ per hr)'!C$27)))</f>
        <v>#DIV/0!</v>
      </c>
      <c r="R37" s="2" t="e">
        <f>60*P37*'Spreading Cost ($ per hr)'!C$8/(2*(IF('Spreading Cost ($ per hr)'!C$27=0,'Spreading Cost ($ per hr)'!C$23,'Spreading Cost ($ per hr)'!C$27)))</f>
        <v>#DIV/0!</v>
      </c>
    </row>
    <row r="38" spans="1:18" ht="12.75">
      <c r="A38">
        <v>160</v>
      </c>
      <c r="B38">
        <f t="shared" si="13"/>
        <v>0</v>
      </c>
      <c r="C38" s="44" t="e">
        <f t="shared" si="1"/>
        <v>#DIV/0!</v>
      </c>
      <c r="D38" s="4">
        <f t="shared" si="14"/>
        <v>0</v>
      </c>
      <c r="E38" s="44" t="e">
        <f t="shared" si="11"/>
        <v>#DIV/0!</v>
      </c>
      <c r="F38" s="4">
        <f t="shared" si="15"/>
        <v>0</v>
      </c>
      <c r="G38" s="44" t="e">
        <f t="shared" si="5"/>
        <v>#DIV/0!</v>
      </c>
      <c r="H38" s="4">
        <f>'Manure Value'!$D$21</f>
        <v>0</v>
      </c>
      <c r="I38" s="44" t="e">
        <f t="shared" si="6"/>
        <v>#DIV/0!</v>
      </c>
      <c r="J38" s="4">
        <f>'Manure Value'!$D$22</f>
        <v>0</v>
      </c>
      <c r="K38" s="44" t="e">
        <f t="shared" si="7"/>
        <v>#DIV/0!</v>
      </c>
      <c r="L38" s="4">
        <f>'Manure Value'!$D$23</f>
        <v>0</v>
      </c>
      <c r="M38" s="44" t="e">
        <f t="shared" si="8"/>
        <v>#DIV/0!</v>
      </c>
      <c r="N38" s="4">
        <f>'Manure Value'!$D$24</f>
        <v>0</v>
      </c>
      <c r="O38" s="44" t="e">
        <f t="shared" si="12"/>
        <v>#DIV/0!</v>
      </c>
      <c r="P38" s="44" t="e">
        <f t="shared" si="10"/>
        <v>#DIV/0!</v>
      </c>
      <c r="Q38" s="8" t="e">
        <f>$P38*'Spreading Cost ($ per hr)'!F$6*'Spreading Cost ($ per hr)'!C$8/(2*(IF('Spreading Cost ($ per hr)'!C$27=0,'Spreading Cost ($ per hr)'!C$23,'Spreading Cost ($ per hr)'!C$27)))</f>
        <v>#DIV/0!</v>
      </c>
      <c r="R38" s="2" t="e">
        <f>60*P38*'Spreading Cost ($ per hr)'!C$8/(2*(IF('Spreading Cost ($ per hr)'!C$27=0,'Spreading Cost ($ per hr)'!C$23,'Spreading Cost ($ per hr)'!C$27)))</f>
        <v>#DIV/0!</v>
      </c>
    </row>
    <row r="39" spans="1:18" ht="12.75">
      <c r="A39">
        <v>170</v>
      </c>
      <c r="B39">
        <f t="shared" si="13"/>
        <v>0</v>
      </c>
      <c r="C39" s="44" t="e">
        <f t="shared" si="1"/>
        <v>#DIV/0!</v>
      </c>
      <c r="D39" s="4">
        <f t="shared" si="14"/>
        <v>0</v>
      </c>
      <c r="E39" s="44" t="e">
        <f t="shared" si="11"/>
        <v>#DIV/0!</v>
      </c>
      <c r="F39" s="4">
        <f t="shared" si="15"/>
        <v>0</v>
      </c>
      <c r="G39" s="44" t="e">
        <f t="shared" si="5"/>
        <v>#DIV/0!</v>
      </c>
      <c r="H39" s="4">
        <f>'Manure Value'!$D$21</f>
        <v>0</v>
      </c>
      <c r="I39" s="44" t="e">
        <f t="shared" si="6"/>
        <v>#DIV/0!</v>
      </c>
      <c r="J39" s="4">
        <f>'Manure Value'!$D$22</f>
        <v>0</v>
      </c>
      <c r="K39" s="44" t="e">
        <f t="shared" si="7"/>
        <v>#DIV/0!</v>
      </c>
      <c r="L39" s="4">
        <f>'Manure Value'!$D$23</f>
        <v>0</v>
      </c>
      <c r="M39" s="44" t="e">
        <f t="shared" si="8"/>
        <v>#DIV/0!</v>
      </c>
      <c r="N39" s="4">
        <f>'Manure Value'!$D$24</f>
        <v>0</v>
      </c>
      <c r="O39" s="44" t="e">
        <f t="shared" si="12"/>
        <v>#DIV/0!</v>
      </c>
      <c r="P39" s="44" t="e">
        <f t="shared" si="10"/>
        <v>#DIV/0!</v>
      </c>
      <c r="Q39" s="8" t="e">
        <f>$P39*'Spreading Cost ($ per hr)'!F$6*'Spreading Cost ($ per hr)'!C$8/(2*(IF('Spreading Cost ($ per hr)'!C$27=0,'Spreading Cost ($ per hr)'!C$23,'Spreading Cost ($ per hr)'!C$27)))</f>
        <v>#DIV/0!</v>
      </c>
      <c r="R39" s="2" t="e">
        <f>60*P39*'Spreading Cost ($ per hr)'!C$8/(2*(IF('Spreading Cost ($ per hr)'!C$27=0,'Spreading Cost ($ per hr)'!C$23,'Spreading Cost ($ per hr)'!C$27)))</f>
        <v>#DIV/0!</v>
      </c>
    </row>
    <row r="40" spans="1:18" ht="12.75">
      <c r="A40">
        <v>180</v>
      </c>
      <c r="B40">
        <f t="shared" si="13"/>
        <v>0</v>
      </c>
      <c r="C40" s="44" t="e">
        <f t="shared" si="1"/>
        <v>#DIV/0!</v>
      </c>
      <c r="D40" s="4">
        <f t="shared" si="14"/>
        <v>0</v>
      </c>
      <c r="E40" s="44" t="e">
        <f t="shared" si="11"/>
        <v>#DIV/0!</v>
      </c>
      <c r="F40" s="4">
        <f t="shared" si="15"/>
        <v>0</v>
      </c>
      <c r="G40" s="44" t="e">
        <f t="shared" si="5"/>
        <v>#DIV/0!</v>
      </c>
      <c r="H40" s="4">
        <f>'Manure Value'!$D$21</f>
        <v>0</v>
      </c>
      <c r="I40" s="44" t="e">
        <f t="shared" si="6"/>
        <v>#DIV/0!</v>
      </c>
      <c r="J40" s="4">
        <f>'Manure Value'!$D$22</f>
        <v>0</v>
      </c>
      <c r="K40" s="44" t="e">
        <f t="shared" si="7"/>
        <v>#DIV/0!</v>
      </c>
      <c r="L40" s="4">
        <f>'Manure Value'!$D$23</f>
        <v>0</v>
      </c>
      <c r="M40" s="44" t="e">
        <f t="shared" si="8"/>
        <v>#DIV/0!</v>
      </c>
      <c r="N40" s="4">
        <f>'Manure Value'!$D$24</f>
        <v>0</v>
      </c>
      <c r="O40" s="44" t="e">
        <f t="shared" si="12"/>
        <v>#DIV/0!</v>
      </c>
      <c r="P40" s="44" t="e">
        <f t="shared" si="10"/>
        <v>#DIV/0!</v>
      </c>
      <c r="Q40" s="8" t="e">
        <f>$P40*'Spreading Cost ($ per hr)'!F$6*'Spreading Cost ($ per hr)'!C$8/(2*(IF('Spreading Cost ($ per hr)'!C$27=0,'Spreading Cost ($ per hr)'!C$23,'Spreading Cost ($ per hr)'!C$27)))</f>
        <v>#DIV/0!</v>
      </c>
      <c r="R40" s="2" t="e">
        <f>60*P40*'Spreading Cost ($ per hr)'!C$8/(2*(IF('Spreading Cost ($ per hr)'!C$27=0,'Spreading Cost ($ per hr)'!C$23,'Spreading Cost ($ per hr)'!C$27)))</f>
        <v>#DIV/0!</v>
      </c>
    </row>
    <row r="41" spans="1:18" ht="12.75">
      <c r="A41">
        <v>190</v>
      </c>
      <c r="B41">
        <f t="shared" si="13"/>
        <v>0</v>
      </c>
      <c r="C41" s="44" t="e">
        <f t="shared" si="1"/>
        <v>#DIV/0!</v>
      </c>
      <c r="D41" s="4">
        <f t="shared" si="14"/>
        <v>0</v>
      </c>
      <c r="E41" s="44" t="e">
        <f t="shared" si="11"/>
        <v>#DIV/0!</v>
      </c>
      <c r="F41" s="4">
        <f t="shared" si="15"/>
        <v>0</v>
      </c>
      <c r="G41" s="44" t="e">
        <f t="shared" si="5"/>
        <v>#DIV/0!</v>
      </c>
      <c r="H41" s="4">
        <f>'Manure Value'!$D$21</f>
        <v>0</v>
      </c>
      <c r="I41" s="44" t="e">
        <f t="shared" si="6"/>
        <v>#DIV/0!</v>
      </c>
      <c r="J41" s="4">
        <f>'Manure Value'!$D$22</f>
        <v>0</v>
      </c>
      <c r="K41" s="44" t="e">
        <f t="shared" si="7"/>
        <v>#DIV/0!</v>
      </c>
      <c r="L41" s="4">
        <f>'Manure Value'!$D$23</f>
        <v>0</v>
      </c>
      <c r="M41" s="44" t="e">
        <f t="shared" si="8"/>
        <v>#DIV/0!</v>
      </c>
      <c r="N41" s="4">
        <f>'Manure Value'!$D$24</f>
        <v>0</v>
      </c>
      <c r="O41" s="44" t="e">
        <f t="shared" si="12"/>
        <v>#DIV/0!</v>
      </c>
      <c r="P41" s="44" t="e">
        <f t="shared" si="10"/>
        <v>#DIV/0!</v>
      </c>
      <c r="Q41" s="8" t="e">
        <f>$P41*'Spreading Cost ($ per hr)'!F$6*'Spreading Cost ($ per hr)'!C$8/(2*(IF('Spreading Cost ($ per hr)'!C$27=0,'Spreading Cost ($ per hr)'!C$23,'Spreading Cost ($ per hr)'!C$27)))</f>
        <v>#DIV/0!</v>
      </c>
      <c r="R41" s="2" t="e">
        <f>60*P41*'Spreading Cost ($ per hr)'!C$8/(2*(IF('Spreading Cost ($ per hr)'!C$27=0,'Spreading Cost ($ per hr)'!C$23,'Spreading Cost ($ per hr)'!C$27)))</f>
        <v>#DIV/0!</v>
      </c>
    </row>
    <row r="42" spans="1:18" ht="12.75">
      <c r="A42">
        <v>200</v>
      </c>
      <c r="B42">
        <f t="shared" si="13"/>
        <v>0</v>
      </c>
      <c r="C42" s="44" t="e">
        <f t="shared" si="1"/>
        <v>#DIV/0!</v>
      </c>
      <c r="D42" s="4">
        <f t="shared" si="14"/>
        <v>0</v>
      </c>
      <c r="E42" s="44" t="e">
        <f t="shared" si="11"/>
        <v>#DIV/0!</v>
      </c>
      <c r="F42" s="4">
        <f t="shared" si="15"/>
        <v>0</v>
      </c>
      <c r="G42" s="44" t="e">
        <f t="shared" si="5"/>
        <v>#DIV/0!</v>
      </c>
      <c r="H42" s="4">
        <f>'Manure Value'!$D$21</f>
        <v>0</v>
      </c>
      <c r="I42" s="44" t="e">
        <f t="shared" si="6"/>
        <v>#DIV/0!</v>
      </c>
      <c r="J42" s="4">
        <f>'Manure Value'!$D$22</f>
        <v>0</v>
      </c>
      <c r="K42" s="44" t="e">
        <f t="shared" si="7"/>
        <v>#DIV/0!</v>
      </c>
      <c r="L42" s="4">
        <f>'Manure Value'!$D$23</f>
        <v>0</v>
      </c>
      <c r="M42" s="44" t="e">
        <f t="shared" si="8"/>
        <v>#DIV/0!</v>
      </c>
      <c r="N42" s="4">
        <f>'Manure Value'!$D$24</f>
        <v>0</v>
      </c>
      <c r="O42" s="44" t="e">
        <f t="shared" si="12"/>
        <v>#DIV/0!</v>
      </c>
      <c r="P42" s="44" t="e">
        <f t="shared" si="10"/>
        <v>#DIV/0!</v>
      </c>
      <c r="Q42" s="8" t="e">
        <f>$P42*'Spreading Cost ($ per hr)'!F$6*'Spreading Cost ($ per hr)'!C$8/(2*(IF('Spreading Cost ($ per hr)'!C$27=0,'Spreading Cost ($ per hr)'!C$23,'Spreading Cost ($ per hr)'!C$27)))</f>
        <v>#DIV/0!</v>
      </c>
      <c r="R42" s="2" t="e">
        <f>60*P42*'Spreading Cost ($ per hr)'!C$8/(2*(IF('Spreading Cost ($ per hr)'!C$27=0,'Spreading Cost ($ per hr)'!C$23,'Spreading Cost ($ per hr)'!C$27)))</f>
        <v>#DIV/0!</v>
      </c>
    </row>
    <row r="43" spans="3:16" ht="12.75">
      <c r="C43" s="4"/>
      <c r="D43" s="4"/>
      <c r="E43" s="4"/>
      <c r="F43" s="4"/>
      <c r="G43" s="44"/>
      <c r="H43" s="4"/>
      <c r="I43" s="4"/>
      <c r="J43" s="4"/>
      <c r="K43" s="4"/>
      <c r="L43" s="4"/>
      <c r="M43" s="4"/>
      <c r="N43" s="4"/>
      <c r="O43" s="4"/>
      <c r="P43" s="4"/>
    </row>
  </sheetData>
  <sheetProtection sheet="1" objects="1" scenarios="1"/>
  <mergeCells count="2">
    <mergeCell ref="G2:K2"/>
    <mergeCell ref="A2:E2"/>
  </mergeCells>
  <printOptions/>
  <pageMargins left="0.75" right="0.75" top="1" bottom="1" header="0.5" footer="0.5"/>
  <pageSetup horizontalDpi="300" verticalDpi="300" orientation="landscape" r:id="rId1"/>
</worksheet>
</file>

<file path=xl/worksheets/sheet8.xml><?xml version="1.0" encoding="utf-8"?>
<worksheet xmlns="http://schemas.openxmlformats.org/spreadsheetml/2006/main" xmlns:r="http://schemas.openxmlformats.org/officeDocument/2006/relationships">
  <dimension ref="A1:F23"/>
  <sheetViews>
    <sheetView zoomScalePageLayoutView="0" workbookViewId="0" topLeftCell="A1">
      <selection activeCell="F4" sqref="F4"/>
    </sheetView>
  </sheetViews>
  <sheetFormatPr defaultColWidth="9.140625" defaultRowHeight="12.75"/>
  <cols>
    <col min="2" max="2" width="15.00390625" style="0" bestFit="1" customWidth="1"/>
    <col min="3" max="3" width="7.8515625" style="0" bestFit="1" customWidth="1"/>
    <col min="4" max="4" width="13.28125" style="0" bestFit="1" customWidth="1"/>
    <col min="5" max="5" width="10.7109375" style="0" bestFit="1" customWidth="1"/>
  </cols>
  <sheetData>
    <row r="1" spans="2:5" ht="12.75">
      <c r="B1" s="12" t="s">
        <v>0</v>
      </c>
      <c r="C1" s="12" t="s">
        <v>26</v>
      </c>
      <c r="D1" s="12" t="s">
        <v>2</v>
      </c>
      <c r="E1" s="12" t="s">
        <v>2</v>
      </c>
    </row>
    <row r="2" spans="2:5" ht="12.75">
      <c r="B2" s="12" t="s">
        <v>1</v>
      </c>
      <c r="C2" s="12" t="s">
        <v>27</v>
      </c>
      <c r="D2" s="12" t="s">
        <v>30</v>
      </c>
      <c r="E2" s="12" t="s">
        <v>32</v>
      </c>
    </row>
    <row r="3" spans="1:5" ht="12.75">
      <c r="A3">
        <v>-50</v>
      </c>
      <c r="B3" s="1">
        <f aca="true" t="shared" si="0" ref="B3:B11">B$13+A3</f>
        <v>-50</v>
      </c>
      <c r="C3" s="1">
        <f>'Manure Value'!$E$25</f>
        <v>0</v>
      </c>
      <c r="D3" s="31">
        <f>$C3*'Spreading Cost ($ per hr)'!F$6*'Spreading Cost ($ per hr)'!C$8/(2*B3)</f>
        <v>0</v>
      </c>
      <c r="E3" s="32">
        <f>60*$C3*'Spreading Cost ($ per hr)'!C$8/(2*B3)</f>
        <v>0</v>
      </c>
    </row>
    <row r="4" spans="1:5" ht="12.75">
      <c r="A4">
        <v>-45</v>
      </c>
      <c r="B4" s="1">
        <f t="shared" si="0"/>
        <v>-45</v>
      </c>
      <c r="C4" s="1">
        <f>'Manure Value'!$E$25</f>
        <v>0</v>
      </c>
      <c r="D4" s="31">
        <f>$C4*'Spreading Cost ($ per hr)'!F$6*'Spreading Cost ($ per hr)'!C$8/(2*B4)</f>
        <v>0</v>
      </c>
      <c r="E4" s="32">
        <f>60*$C4*'Spreading Cost ($ per hr)'!C$8/(2*B4)</f>
        <v>0</v>
      </c>
    </row>
    <row r="5" spans="1:5" ht="12.75">
      <c r="A5">
        <v>-40</v>
      </c>
      <c r="B5" s="1">
        <f t="shared" si="0"/>
        <v>-40</v>
      </c>
      <c r="C5" s="1">
        <f>'Manure Value'!$E$25</f>
        <v>0</v>
      </c>
      <c r="D5" s="31">
        <f>$C5*'Spreading Cost ($ per hr)'!F$6*'Spreading Cost ($ per hr)'!C$8/(2*B5)</f>
        <v>0</v>
      </c>
      <c r="E5" s="32">
        <f>60*$C5*'Spreading Cost ($ per hr)'!C$8/(2*B5)</f>
        <v>0</v>
      </c>
    </row>
    <row r="6" spans="1:5" ht="12.75">
      <c r="A6">
        <v>-35</v>
      </c>
      <c r="B6" s="1">
        <f t="shared" si="0"/>
        <v>-35</v>
      </c>
      <c r="C6" s="1">
        <f>'Manure Value'!$E$25</f>
        <v>0</v>
      </c>
      <c r="D6" s="31">
        <f>$C6*'Spreading Cost ($ per hr)'!F$6*'Spreading Cost ($ per hr)'!C$8/(2*B6)</f>
        <v>0</v>
      </c>
      <c r="E6" s="32">
        <f>60*$C6*'Spreading Cost ($ per hr)'!C$8/(2*B6)</f>
        <v>0</v>
      </c>
    </row>
    <row r="7" spans="1:5" ht="12.75">
      <c r="A7">
        <v>-30</v>
      </c>
      <c r="B7" s="1">
        <f t="shared" si="0"/>
        <v>-30</v>
      </c>
      <c r="C7" s="1">
        <f>'Manure Value'!$E$25</f>
        <v>0</v>
      </c>
      <c r="D7" s="31">
        <f>$C7*'Spreading Cost ($ per hr)'!F$6*'Spreading Cost ($ per hr)'!C$8/(2*B7)</f>
        <v>0</v>
      </c>
      <c r="E7" s="32">
        <f>60*$C7*'Spreading Cost ($ per hr)'!C$8/(2*B7)</f>
        <v>0</v>
      </c>
    </row>
    <row r="8" spans="1:5" ht="12.75">
      <c r="A8">
        <v>-25</v>
      </c>
      <c r="B8" s="1">
        <f t="shared" si="0"/>
        <v>-25</v>
      </c>
      <c r="C8" s="1">
        <f>'Manure Value'!$E$25</f>
        <v>0</v>
      </c>
      <c r="D8" s="31">
        <f>$C8*'Spreading Cost ($ per hr)'!F$6*'Spreading Cost ($ per hr)'!C$8/(2*B8)</f>
        <v>0</v>
      </c>
      <c r="E8" s="32">
        <f>60*$C8*'Spreading Cost ($ per hr)'!C$8/(2*B8)</f>
        <v>0</v>
      </c>
    </row>
    <row r="9" spans="1:5" ht="12.75">
      <c r="A9">
        <v>-20</v>
      </c>
      <c r="B9" s="1">
        <f t="shared" si="0"/>
        <v>-20</v>
      </c>
      <c r="C9" s="1">
        <f>'Manure Value'!$E$25</f>
        <v>0</v>
      </c>
      <c r="D9" s="31">
        <f>$C9*'Spreading Cost ($ per hr)'!F$6*'Spreading Cost ($ per hr)'!C$8/(2*B9)</f>
        <v>0</v>
      </c>
      <c r="E9" s="32">
        <f>60*$C9*'Spreading Cost ($ per hr)'!C$8/(2*B9)</f>
        <v>0</v>
      </c>
    </row>
    <row r="10" spans="1:5" ht="12.75">
      <c r="A10">
        <v>-15</v>
      </c>
      <c r="B10" s="1">
        <f t="shared" si="0"/>
        <v>-15</v>
      </c>
      <c r="C10" s="1">
        <f>'Manure Value'!$E$25</f>
        <v>0</v>
      </c>
      <c r="D10" s="31">
        <f>$C10*'Spreading Cost ($ per hr)'!F$6*'Spreading Cost ($ per hr)'!C$8/(2*B10)</f>
        <v>0</v>
      </c>
      <c r="E10" s="32">
        <f>60*$C10*'Spreading Cost ($ per hr)'!C$8/(2*B10)</f>
        <v>0</v>
      </c>
    </row>
    <row r="11" spans="1:5" ht="12.75">
      <c r="A11">
        <v>-10</v>
      </c>
      <c r="B11" s="1">
        <f t="shared" si="0"/>
        <v>-10</v>
      </c>
      <c r="C11" s="1">
        <f>'Manure Value'!$E$25</f>
        <v>0</v>
      </c>
      <c r="D11" s="31">
        <f>$C11*'Spreading Cost ($ per hr)'!F$6*'Spreading Cost ($ per hr)'!C$8/(2*B11)</f>
        <v>0</v>
      </c>
      <c r="E11" s="32">
        <f>60*$C11*'Spreading Cost ($ per hr)'!C$8/(2*B11)</f>
        <v>0</v>
      </c>
    </row>
    <row r="12" spans="1:5" ht="12.75">
      <c r="A12">
        <v>-5</v>
      </c>
      <c r="B12" s="1">
        <f>B$13+A12</f>
        <v>-5</v>
      </c>
      <c r="C12" s="1">
        <f>'Manure Value'!$E$25</f>
        <v>0</v>
      </c>
      <c r="D12" s="31">
        <f>$C12*'Spreading Cost ($ per hr)'!F$6*'Spreading Cost ($ per hr)'!C$8/(2*B12)</f>
        <v>0</v>
      </c>
      <c r="E12" s="32">
        <f>60*$C12*'Spreading Cost ($ per hr)'!C$8/(2*B12)</f>
        <v>0</v>
      </c>
    </row>
    <row r="13" spans="1:6" ht="12.75">
      <c r="A13" s="6">
        <v>0</v>
      </c>
      <c r="B13" s="7">
        <f>ROUND((IF('Spreading Cost ($ per hr)'!C$27=0,'Spreading Cost ($ per hr)'!C$23,'Spreading Cost ($ per hr)'!C$27)),0)</f>
        <v>0</v>
      </c>
      <c r="C13" s="7">
        <f>'Manure Value'!$E$25</f>
        <v>0</v>
      </c>
      <c r="D13" s="76" t="e">
        <f>$C13*'Spreading Cost ($ per hr)'!F$6*'Spreading Cost ($ per hr)'!C$8/(2*B13)</f>
        <v>#DIV/0!</v>
      </c>
      <c r="E13" s="77" t="e">
        <f>60*$C13*'Spreading Cost ($ per hr)'!C$8/(2*B13)</f>
        <v>#DIV/0!</v>
      </c>
      <c r="F13" s="2"/>
    </row>
    <row r="14" spans="1:5" ht="12.75">
      <c r="A14">
        <v>5</v>
      </c>
      <c r="B14" s="1">
        <f>B$13+A14</f>
        <v>5</v>
      </c>
      <c r="C14" s="1">
        <f>'Manure Value'!$E$25</f>
        <v>0</v>
      </c>
      <c r="D14" s="31">
        <f>$C14*'Spreading Cost ($ per hr)'!F$6*'Spreading Cost ($ per hr)'!C$8/(2*B14)</f>
        <v>0</v>
      </c>
      <c r="E14" s="32">
        <f>60*$C14*'Spreading Cost ($ per hr)'!C$8/(2*B14)</f>
        <v>0</v>
      </c>
    </row>
    <row r="15" spans="1:5" ht="12.75">
      <c r="A15">
        <v>10</v>
      </c>
      <c r="B15" s="1">
        <f aca="true" t="shared" si="1" ref="B15:B23">B$13+A15</f>
        <v>10</v>
      </c>
      <c r="C15" s="1">
        <f>'Manure Value'!$E$25</f>
        <v>0</v>
      </c>
      <c r="D15" s="31">
        <f>$C15*'Spreading Cost ($ per hr)'!F$6*'Spreading Cost ($ per hr)'!C$8/(2*B15)</f>
        <v>0</v>
      </c>
      <c r="E15" s="32">
        <f>60*$C15*'Spreading Cost ($ per hr)'!C$8/(2*B15)</f>
        <v>0</v>
      </c>
    </row>
    <row r="16" spans="1:5" ht="12.75">
      <c r="A16">
        <v>15</v>
      </c>
      <c r="B16" s="1">
        <f t="shared" si="1"/>
        <v>15</v>
      </c>
      <c r="C16" s="1">
        <f>'Manure Value'!$E$25</f>
        <v>0</v>
      </c>
      <c r="D16" s="31">
        <f>$C16*'Spreading Cost ($ per hr)'!F$6*'Spreading Cost ($ per hr)'!C$8/(2*B16)</f>
        <v>0</v>
      </c>
      <c r="E16" s="32">
        <f>60*$C16*'Spreading Cost ($ per hr)'!C$8/(2*B16)</f>
        <v>0</v>
      </c>
    </row>
    <row r="17" spans="1:5" ht="12.75">
      <c r="A17">
        <v>20</v>
      </c>
      <c r="B17" s="1">
        <f t="shared" si="1"/>
        <v>20</v>
      </c>
      <c r="C17" s="1">
        <f>'Manure Value'!$E$25</f>
        <v>0</v>
      </c>
      <c r="D17" s="31">
        <f>$C17*'Spreading Cost ($ per hr)'!F$6*'Spreading Cost ($ per hr)'!C$8/(2*B17)</f>
        <v>0</v>
      </c>
      <c r="E17" s="32">
        <f>60*$C17*'Spreading Cost ($ per hr)'!C$8/(2*B17)</f>
        <v>0</v>
      </c>
    </row>
    <row r="18" spans="1:5" ht="12.75">
      <c r="A18">
        <v>25</v>
      </c>
      <c r="B18" s="1">
        <f t="shared" si="1"/>
        <v>25</v>
      </c>
      <c r="C18" s="1">
        <f>'Manure Value'!$E$25</f>
        <v>0</v>
      </c>
      <c r="D18" s="31">
        <f>$C18*'Spreading Cost ($ per hr)'!F$6*'Spreading Cost ($ per hr)'!C$8/(2*B18)</f>
        <v>0</v>
      </c>
      <c r="E18" s="32">
        <f>60*$C18*'Spreading Cost ($ per hr)'!C$8/(2*B18)</f>
        <v>0</v>
      </c>
    </row>
    <row r="19" spans="1:5" ht="12.75">
      <c r="A19">
        <v>30</v>
      </c>
      <c r="B19" s="1">
        <f t="shared" si="1"/>
        <v>30</v>
      </c>
      <c r="C19" s="1">
        <f>'Manure Value'!$E$25</f>
        <v>0</v>
      </c>
      <c r="D19" s="31">
        <f>$C19*'Spreading Cost ($ per hr)'!F$6*'Spreading Cost ($ per hr)'!C$8/(2*B19)</f>
        <v>0</v>
      </c>
      <c r="E19" s="32">
        <f>60*$C19*'Spreading Cost ($ per hr)'!C$8/(2*B19)</f>
        <v>0</v>
      </c>
    </row>
    <row r="20" spans="1:5" ht="12.75">
      <c r="A20">
        <v>35</v>
      </c>
      <c r="B20" s="1">
        <f t="shared" si="1"/>
        <v>35</v>
      </c>
      <c r="C20" s="1">
        <f>'Manure Value'!$E$25</f>
        <v>0</v>
      </c>
      <c r="D20" s="31">
        <f>$C20*'Spreading Cost ($ per hr)'!F$6*'Spreading Cost ($ per hr)'!C$8/(2*B20)</f>
        <v>0</v>
      </c>
      <c r="E20" s="32">
        <f>60*$C20*'Spreading Cost ($ per hr)'!C$8/(2*B20)</f>
        <v>0</v>
      </c>
    </row>
    <row r="21" spans="1:5" ht="12.75">
      <c r="A21">
        <v>40</v>
      </c>
      <c r="B21" s="1">
        <f t="shared" si="1"/>
        <v>40</v>
      </c>
      <c r="C21" s="1">
        <f>'Manure Value'!$E$25</f>
        <v>0</v>
      </c>
      <c r="D21" s="31">
        <f>$C21*'Spreading Cost ($ per hr)'!F$6*'Spreading Cost ($ per hr)'!C$8/(2*B21)</f>
        <v>0</v>
      </c>
      <c r="E21" s="32">
        <f>60*$C21*'Spreading Cost ($ per hr)'!C$8/(2*B21)</f>
        <v>0</v>
      </c>
    </row>
    <row r="22" spans="1:5" ht="12.75">
      <c r="A22">
        <v>45</v>
      </c>
      <c r="B22" s="1">
        <f t="shared" si="1"/>
        <v>45</v>
      </c>
      <c r="C22" s="1">
        <f>'Manure Value'!$E$25</f>
        <v>0</v>
      </c>
      <c r="D22" s="31">
        <f>$C22*'Spreading Cost ($ per hr)'!F$6*'Spreading Cost ($ per hr)'!C$8/(2*B22)</f>
        <v>0</v>
      </c>
      <c r="E22" s="32">
        <f>60*$C22*'Spreading Cost ($ per hr)'!C$8/(2*B22)</f>
        <v>0</v>
      </c>
    </row>
    <row r="23" spans="1:5" ht="12.75">
      <c r="A23">
        <v>50</v>
      </c>
      <c r="B23" s="1">
        <f t="shared" si="1"/>
        <v>50</v>
      </c>
      <c r="C23" s="1">
        <f>'Manure Value'!$E$25</f>
        <v>0</v>
      </c>
      <c r="D23" s="31">
        <f>$C23*'Spreading Cost ($ per hr)'!F$6*'Spreading Cost ($ per hr)'!C$8/(2*B23)</f>
        <v>0</v>
      </c>
      <c r="E23" s="32">
        <f>60*$C23*'Spreading Cost ($ per hr)'!C$8/(2*B23)</f>
        <v>0</v>
      </c>
    </row>
  </sheetData>
  <sheetProtection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DAA/MAA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U. Christie</dc:creator>
  <cp:keywords/>
  <dc:description/>
  <cp:lastModifiedBy>AFA/APA</cp:lastModifiedBy>
  <cp:lastPrinted>2009-02-20T18:57:55Z</cp:lastPrinted>
  <dcterms:created xsi:type="dcterms:W3CDTF">2008-11-19T18:53:58Z</dcterms:created>
  <dcterms:modified xsi:type="dcterms:W3CDTF">2016-04-04T13:34:36Z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-1153504264</vt:i4>
  </property>
  <property fmtid="{D5CDD505-2E9C-101B-9397-08002B2CF9AE}" pid="3" name="_NewReviewCycle">
    <vt:lpwstr/>
  </property>
  <property fmtid="{D5CDD505-2E9C-101B-9397-08002B2CF9AE}" pid="4" name="_EmailSubject">
    <vt:lpwstr>Manure Haul Cost Calculator</vt:lpwstr>
  </property>
  <property fmtid="{D5CDD505-2E9C-101B-9397-08002B2CF9AE}" pid="5" name="_AuthorEmail">
    <vt:lpwstr>pat.toner@gnb.ca</vt:lpwstr>
  </property>
  <property fmtid="{D5CDD505-2E9C-101B-9397-08002B2CF9AE}" pid="6" name="_AuthorEmailDisplayName">
    <vt:lpwstr>Toner, Pat (DAAF/MAAP)</vt:lpwstr>
  </property>
  <property fmtid="{D5CDD505-2E9C-101B-9397-08002B2CF9AE}" pid="7" name="_PreviousAdHocReviewCycleID">
    <vt:i4>1845349568</vt:i4>
  </property>
</Properties>
</file>