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445" tabRatio="756" activeTab="0"/>
  </bookViews>
  <sheets>
    <sheet name="Avertissement" sheetId="1" r:id="rId1"/>
    <sheet name="Coût d'épandage ($ par h)" sheetId="2" r:id="rId2"/>
    <sheet name="Champs additionnels" sheetId="3" r:id="rId3"/>
    <sheet name="Valeur du fumier" sheetId="4" r:id="rId4"/>
    <sheet name="Évol. coût des engrais" sheetId="5" r:id="rId5"/>
    <sheet name="Évol. coût d'épandage" sheetId="6" r:id="rId6"/>
    <sheet name="Analyse du fumier type" sheetId="7" r:id="rId7"/>
    <sheet name="Disponibilité de l'azote" sheetId="8" r:id="rId8"/>
    <sheet name="Feuille 1" sheetId="9" state="hidden" r:id="rId9"/>
    <sheet name="Feuille 2" sheetId="10" state="hidden" r:id="rId10"/>
  </sheets>
  <definedNames/>
  <calcPr fullCalcOnLoad="1"/>
</workbook>
</file>

<file path=xl/comments4.xml><?xml version="1.0" encoding="utf-8"?>
<comments xmlns="http://schemas.openxmlformats.org/spreadsheetml/2006/main">
  <authors>
    <author>David U Christie</author>
  </authors>
  <commentList>
    <comment ref="D23" authorId="0">
      <text>
        <r>
          <rPr>
            <sz val="9"/>
            <rFont val="Tahoma"/>
            <family val="0"/>
          </rPr>
          <t>kg P2O5/tonne</t>
        </r>
      </text>
    </comment>
    <comment ref="D24" authorId="0">
      <text>
        <r>
          <rPr>
            <sz val="9"/>
            <rFont val="Tahoma"/>
            <family val="0"/>
          </rPr>
          <t>kg K2O/tonne</t>
        </r>
      </text>
    </comment>
  </commentList>
</comments>
</file>

<file path=xl/sharedStrings.xml><?xml version="1.0" encoding="utf-8"?>
<sst xmlns="http://schemas.openxmlformats.org/spreadsheetml/2006/main" count="246" uniqueCount="153">
  <si>
    <t>($/tonne)</t>
  </si>
  <si>
    <t>N</t>
  </si>
  <si>
    <t>P</t>
  </si>
  <si>
    <t>K</t>
  </si>
  <si>
    <t>($/kg)</t>
  </si>
  <si>
    <t>P (%)</t>
  </si>
  <si>
    <t>K (%)</t>
  </si>
  <si>
    <t>Animal</t>
  </si>
  <si>
    <t>Type</t>
  </si>
  <si>
    <t>(%)</t>
  </si>
  <si>
    <t>(ppm)</t>
  </si>
  <si>
    <r>
      <t>NH</t>
    </r>
    <r>
      <rPr>
        <b/>
        <vertAlign val="subscript"/>
        <sz val="10"/>
        <rFont val="Arial"/>
        <family val="2"/>
      </rPr>
      <t>4</t>
    </r>
    <r>
      <rPr>
        <b/>
        <sz val="10"/>
        <rFont val="Arial"/>
        <family val="2"/>
      </rPr>
      <t>-N</t>
    </r>
  </si>
  <si>
    <t>% N</t>
  </si>
  <si>
    <t>Option A</t>
  </si>
  <si>
    <t>Option B</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</si>
  <si>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</si>
  <si>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</si>
  <si>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r>
      <t>NH</t>
    </r>
    <r>
      <rPr>
        <b/>
        <vertAlign val="subscript"/>
        <sz val="10"/>
        <rFont val="Arial"/>
        <family val="2"/>
      </rPr>
      <t>4</t>
    </r>
    <r>
      <rPr>
        <b/>
        <sz val="10"/>
        <rFont val="Arial"/>
        <family val="2"/>
      </rPr>
      <t>-N (ppm)</t>
    </r>
  </si>
  <si>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</si>
  <si>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</si>
  <si>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0</t>
  </si>
  <si>
    <t>(kg/tonne)</t>
  </si>
  <si>
    <t>Analyse de fumier type</t>
  </si>
  <si>
    <t>Liquide</t>
  </si>
  <si>
    <t>Solide</t>
  </si>
  <si>
    <t>Volaille</t>
  </si>
  <si>
    <t>Azote org.</t>
  </si>
  <si>
    <t>Coût d'épandage</t>
  </si>
  <si>
    <t>($/h)</t>
  </si>
  <si>
    <t>Fumier</t>
  </si>
  <si>
    <t>Distance</t>
  </si>
  <si>
    <t>rentable (km)</t>
  </si>
  <si>
    <t xml:space="preserve">Temps  </t>
  </si>
  <si>
    <t>rentable (min)</t>
  </si>
  <si>
    <t>Engrais</t>
  </si>
  <si>
    <t>Potasse (0-0-60)</t>
  </si>
  <si>
    <t>Valeur nutritive</t>
  </si>
  <si>
    <t>Prix</t>
  </si>
  <si>
    <t>Temps</t>
  </si>
  <si>
    <t>($/unité)</t>
  </si>
  <si>
    <t>Superphosphate triple (0-46-0)</t>
  </si>
  <si>
    <t>Nitrate d'ammonium (34-0-0)</t>
  </si>
  <si>
    <t>Valeur nutritive ($/kg)</t>
  </si>
  <si>
    <t>Facteur de</t>
  </si>
  <si>
    <t>Nutr. disp.</t>
  </si>
  <si>
    <t>disponibilité</t>
  </si>
  <si>
    <t>Valeur</t>
  </si>
  <si>
    <t>Azote total (%)</t>
  </si>
  <si>
    <t>Azote org. (%)</t>
  </si>
  <si>
    <t>Distance de transport rentable (km)</t>
  </si>
  <si>
    <t>Temps de transport rentable (min)</t>
  </si>
  <si>
    <t>Autres champs</t>
  </si>
  <si>
    <t>Taille totale des champs (acres)</t>
  </si>
  <si>
    <t>Quantité moy. de fumier (chargements/acre)</t>
  </si>
  <si>
    <t>Utilisation additionnelle (h)</t>
  </si>
  <si>
    <t>Prix d'achat ($)</t>
  </si>
  <si>
    <t>Puissance à la prise de force (hp)</t>
  </si>
  <si>
    <t>Valeur résiduelle</t>
  </si>
  <si>
    <t>Amortissement ($/a)</t>
  </si>
  <si>
    <t>Logement, intérêt et assurance ($/an)</t>
  </si>
  <si>
    <t>Durée utile (ans)</t>
  </si>
  <si>
    <t>Coûts de propriété ($/an)</t>
  </si>
  <si>
    <t>Réparations ($/an)</t>
  </si>
  <si>
    <t>Carburant et lubrifiants ($/an)</t>
  </si>
  <si>
    <t>Main-d'oeuvre ($/an)</t>
  </si>
  <si>
    <t>Coûts d'exploitation ($/an)</t>
  </si>
  <si>
    <t>Coût total ($/an)</t>
  </si>
  <si>
    <t>Coût d'épandage total ($/h)</t>
  </si>
  <si>
    <t>Coût d'épandage ($/h)</t>
  </si>
  <si>
    <t>Salaires ($/h)</t>
  </si>
  <si>
    <t>Facteur logement, int. et ass.</t>
  </si>
  <si>
    <t>Vitesse moyenne de dépl. (km/h)</t>
  </si>
  <si>
    <t>Taille totale (acres)</t>
  </si>
  <si>
    <t>Distance de transport (aller seul.) (km)</t>
  </si>
  <si>
    <t>Fumier incorporé, jours après l'application</t>
  </si>
  <si>
    <t>Injecté</t>
  </si>
  <si>
    <t>Incorporé en deux jours</t>
  </si>
  <si>
    <t>Incorporé en un jour</t>
  </si>
  <si>
    <t>Incorporé en trois jours</t>
  </si>
  <si>
    <t>Incorporé en quatre jours</t>
  </si>
  <si>
    <t>Incorporé en cinq jours</t>
  </si>
  <si>
    <t>Non incorporé</t>
  </si>
  <si>
    <t>Résidus de culture</t>
  </si>
  <si>
    <t>Date d'application</t>
  </si>
  <si>
    <t>Solide normal</t>
  </si>
  <si>
    <t>Litière</t>
  </si>
  <si>
    <t>Tracteur</t>
  </si>
  <si>
    <t>Épandeur</t>
  </si>
  <si>
    <t>Carburant ($/L)</t>
  </si>
  <si>
    <t>($/tonne) ou ($/1000L)</t>
  </si>
  <si>
    <t>Rapport C:N 15 - 25</t>
  </si>
  <si>
    <t>Rapport C:N &gt; 25</t>
  </si>
  <si>
    <t>Prix ($/tonne)</t>
  </si>
  <si>
    <t>Valeur du fumier</t>
  </si>
  <si>
    <t>Cout d'épandage ($ par h)</t>
  </si>
  <si>
    <t>Taille du champ (acres)</t>
  </si>
  <si>
    <t>Taux d'épandage (chargements/acre)</t>
  </si>
  <si>
    <t>Option A *</t>
  </si>
  <si>
    <t>* Utiliser lorsque le coût des trois éléments de base des engrais est connu</t>
  </si>
  <si>
    <t>Option B **</t>
  </si>
  <si>
    <t>** Utiliser lorsque seul le coût d'un mélange d'engrais N-P-K est connu</t>
  </si>
  <si>
    <t>Analyse du fumier ***</t>
  </si>
  <si>
    <r>
      <t>Coefficients de disponibilité, NH</t>
    </r>
    <r>
      <rPr>
        <b/>
        <vertAlign val="subscript"/>
        <sz val="10"/>
        <color indexed="8"/>
        <rFont val="Arial"/>
        <family val="2"/>
      </rPr>
      <t>4</t>
    </r>
    <r>
      <rPr>
        <b/>
        <sz val="10"/>
        <rFont val="Arial"/>
        <family val="2"/>
      </rPr>
      <t>-N</t>
    </r>
  </si>
  <si>
    <t>Sols nu</t>
  </si>
  <si>
    <t>Cultures sur pied</t>
  </si>
  <si>
    <t>Tard en automne (temp. de l'air &lt; 10 deg C)</t>
  </si>
  <si>
    <t xml:space="preserve">***Résultats à base de fumier frais, non à base de matière sèche.  </t>
  </si>
  <si>
    <t>Rapport C:N * &lt; 15</t>
  </si>
  <si>
    <t>* Pour déterminer le rapport C:N, diviser le carbone(%) par l'azote(%) dans le rapport d'analyse du fumier.</t>
  </si>
  <si>
    <t>nitrate d'ammonium (34-0-0)</t>
  </si>
  <si>
    <t>superphosphate triple (0-46-0)</t>
  </si>
  <si>
    <t>Champs additionnels</t>
  </si>
  <si>
    <t>Coût d'épandage sur commande* ($/h)</t>
  </si>
  <si>
    <t>* Le taux sur commande est le coût du transport jusqu'au champ, qui peut être différent du coût d'épandage.</t>
  </si>
  <si>
    <t>* Si cette donnée est indiquée, Coutdépandage$ utilise le coût d'épandage sur commandecomme coût d'épandage du fumier.</t>
  </si>
  <si>
    <t>Capacité de l'épandeur (tonnes ou 1000 L)</t>
  </si>
  <si>
    <t>Utilisation annuelle additionnelle* (h)</t>
  </si>
  <si>
    <t>*Ajouter à l'Utilisation annuelle actuelle (h)</t>
  </si>
  <si>
    <t>Utilisation annuelle actuelle (h)</t>
  </si>
  <si>
    <t>Utilisation additionnelle annuelle*** (h)</t>
  </si>
  <si>
    <t>***Ajouter à l'Utilisation annuelle actuelle (h)</t>
  </si>
  <si>
    <t>Coefficients de disponibilité, azote organique</t>
  </si>
  <si>
    <t xml:space="preserve">0 to -0.20** </t>
  </si>
  <si>
    <t xml:space="preserve">**  Ce coefficient est un chiffre négatif, entrer -0.20  .   </t>
  </si>
  <si>
    <t>Animaux additionnels</t>
  </si>
  <si>
    <t>Total N</t>
  </si>
  <si>
    <t>Organic-N</t>
  </si>
  <si>
    <t>Ca</t>
  </si>
  <si>
    <t>Mg</t>
  </si>
  <si>
    <t>S</t>
  </si>
  <si>
    <t>Zn</t>
  </si>
  <si>
    <t>Cu</t>
  </si>
  <si>
    <t>Mn</t>
  </si>
  <si>
    <t>-</t>
  </si>
  <si>
    <r>
      <rPr>
        <vertAlign val="superscript"/>
        <sz val="11"/>
        <color indexed="8"/>
        <rFont val="Calibri"/>
        <family val="2"/>
      </rPr>
      <t>a</t>
    </r>
    <r>
      <rPr>
        <sz val="10"/>
        <rFont val="Arial"/>
        <family val="0"/>
      </rPr>
      <t>Soil Fertility Handbook, Publication 611, OMAFRA 2006</t>
    </r>
  </si>
  <si>
    <r>
      <rPr>
        <vertAlign val="superscript"/>
        <sz val="11"/>
        <color indexed="8"/>
        <rFont val="Calibri"/>
        <family val="2"/>
      </rPr>
      <t>b</t>
    </r>
    <r>
      <rPr>
        <sz val="10"/>
        <rFont val="Arial"/>
        <family val="0"/>
      </rPr>
      <t>Available Nutrients and Value of Manure From Various Livestock Types, AgDex 538, OMAFRA 2008</t>
    </r>
  </si>
  <si>
    <r>
      <t>Porc</t>
    </r>
    <r>
      <rPr>
        <vertAlign val="superscript"/>
        <sz val="11"/>
        <color indexed="8"/>
        <rFont val="Calibri"/>
        <family val="2"/>
      </rPr>
      <t>a</t>
    </r>
  </si>
  <si>
    <r>
      <t>Pors</t>
    </r>
    <r>
      <rPr>
        <vertAlign val="superscript"/>
        <sz val="11"/>
        <color indexed="8"/>
        <rFont val="Calibri"/>
        <family val="2"/>
      </rPr>
      <t>a</t>
    </r>
  </si>
  <si>
    <r>
      <t>Laitier</t>
    </r>
    <r>
      <rPr>
        <vertAlign val="superscript"/>
        <sz val="11"/>
        <color indexed="8"/>
        <rFont val="Calibri"/>
        <family val="2"/>
      </rPr>
      <t>a</t>
    </r>
  </si>
  <si>
    <r>
      <t>Boucherie</t>
    </r>
    <r>
      <rPr>
        <vertAlign val="superscript"/>
        <sz val="11"/>
        <color indexed="8"/>
        <rFont val="Calibri"/>
        <family val="2"/>
      </rPr>
      <t>a</t>
    </r>
  </si>
  <si>
    <r>
      <t>Poulet</t>
    </r>
    <r>
      <rPr>
        <vertAlign val="superscript"/>
        <sz val="11"/>
        <color indexed="8"/>
        <rFont val="Calibri"/>
        <family val="2"/>
      </rPr>
      <t>a</t>
    </r>
  </si>
  <si>
    <r>
      <t>Chevaux</t>
    </r>
    <r>
      <rPr>
        <vertAlign val="superscript"/>
        <sz val="11"/>
        <color indexed="8"/>
        <rFont val="Calibri"/>
        <family val="2"/>
      </rPr>
      <t>a</t>
    </r>
  </si>
  <si>
    <r>
      <t>Mouton</t>
    </r>
    <r>
      <rPr>
        <vertAlign val="superscript"/>
        <sz val="11"/>
        <color indexed="8"/>
        <rFont val="Calibri"/>
        <family val="2"/>
      </rPr>
      <t>a</t>
    </r>
  </si>
  <si>
    <r>
      <t>Chèvre</t>
    </r>
    <r>
      <rPr>
        <vertAlign val="superscript"/>
        <sz val="11"/>
        <color indexed="8"/>
        <rFont val="Calibri"/>
        <family val="2"/>
      </rPr>
      <t>a</t>
    </r>
  </si>
  <si>
    <r>
      <t>Vison</t>
    </r>
    <r>
      <rPr>
        <vertAlign val="superscript"/>
        <sz val="11"/>
        <color indexed="8"/>
        <rFont val="Calibri"/>
        <family val="2"/>
      </rPr>
      <t>b</t>
    </r>
  </si>
  <si>
    <r>
      <t>Renards</t>
    </r>
    <r>
      <rPr>
        <vertAlign val="superscript"/>
        <sz val="11"/>
        <color indexed="8"/>
        <rFont val="Calibri"/>
        <family val="2"/>
      </rPr>
      <t>b</t>
    </r>
  </si>
  <si>
    <t>N/A</t>
  </si>
  <si>
    <t>Sol labouré</t>
  </si>
  <si>
    <t>Printemps/Été</t>
  </si>
  <si>
    <t>Automne précédent</t>
  </si>
  <si>
    <r>
      <t>P</t>
    </r>
    <r>
      <rPr>
        <vertAlign val="subscript"/>
        <sz val="10"/>
        <rFont val="Arial"/>
        <family val="2"/>
      </rPr>
      <t>2</t>
    </r>
    <r>
      <rPr>
        <sz val="10"/>
        <rFont val="Arial"/>
        <family val="0"/>
      </rPr>
      <t>O</t>
    </r>
    <r>
      <rPr>
        <vertAlign val="subscript"/>
        <sz val="10"/>
        <rFont val="Arial"/>
        <family val="2"/>
      </rPr>
      <t>5</t>
    </r>
  </si>
  <si>
    <r>
      <t>K</t>
    </r>
    <r>
      <rPr>
        <vertAlign val="subscript"/>
        <sz val="10"/>
        <rFont val="Arial"/>
        <family val="2"/>
      </rPr>
      <t>2</t>
    </r>
    <r>
      <rPr>
        <sz val="10"/>
        <rFont val="Arial"/>
        <family val="0"/>
      </rPr>
      <t>O</t>
    </r>
  </si>
  <si>
    <t>Gestion de L'Azote sur Maïs: Recommandations Generales. Zebarth et al. 2006</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</si>
</sst>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00"/>
    <numFmt numFmtId="181" formatCode="0.0"/>
    <numFmt numFmtId="182" formatCode="&quot;$&quot;#,##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
    <numFmt numFmtId="189" formatCode="[$-409]h:mm:ss\ AM/PM"/>
    <numFmt numFmtId="190" formatCode="[$-1009]mmmm\ d\,\ yyyy"/>
    <numFmt numFmtId="191" formatCode="yy\-mm\-dd;@"/>
    <numFmt numFmtId="192" formatCode="#,##0\ [$$-C0C]"/>
    <numFmt numFmtId="193" formatCode="#,##0.00\ [$$-C0C]"/>
    <numFmt numFmtId="194" formatCode="0.0000"/>
  </numFmts>
  <fonts count="5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vertAlign val="subscript"/>
      <sz val="10"/>
      <name val="Arial"/>
      <family val="2"/>
    </font>
    <font>
      <b/>
      <vertAlign val="subscript"/>
      <sz val="10"/>
      <color indexed="8"/>
      <name val="Arial"/>
      <family val="2"/>
    </font>
    <font>
      <b/>
      <sz val="9"/>
      <name val="Arial"/>
      <family val="2"/>
    </font>
    <font>
      <vertAlign val="superscript"/>
      <sz val="11"/>
      <color indexed="8"/>
      <name val="Calibri"/>
      <family val="2"/>
    </font>
    <font>
      <vertAlign val="subscript"/>
      <sz val="10"/>
      <name val="Arial"/>
      <family val="2"/>
    </font>
    <font>
      <sz val="9"/>
      <name val="Tahoma"/>
      <family val="0"/>
    </font>
    <font>
      <sz val="10"/>
      <color indexed="8"/>
      <name val="Arial"/>
      <family val="0"/>
    </font>
    <font>
      <sz val="9.2"/>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0"/>
    </font>
    <font>
      <b/>
      <sz val="10"/>
      <color indexed="8"/>
      <name val="Calibri"/>
      <family val="0"/>
    </font>
    <font>
      <b/>
      <sz val="11"/>
      <color indexed="8"/>
      <name val="Calibri"/>
      <family val="0"/>
    </font>
    <font>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double"/>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5">
    <xf numFmtId="0" fontId="0" fillId="0" borderId="0" xfId="0" applyAlignment="1">
      <alignment/>
    </xf>
    <xf numFmtId="180" fontId="0" fillId="0" borderId="0" xfId="0" applyNumberFormat="1" applyAlignment="1">
      <alignment/>
    </xf>
    <xf numFmtId="181" fontId="0" fillId="0" borderId="0" xfId="0" applyNumberFormat="1" applyFill="1" applyBorder="1" applyAlignment="1">
      <alignment/>
    </xf>
    <xf numFmtId="180"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0" fillId="10" borderId="0" xfId="0" applyFill="1" applyAlignment="1">
      <alignment/>
    </xf>
    <xf numFmtId="180" fontId="0" fillId="10" borderId="0" xfId="0" applyNumberFormat="1" applyFill="1" applyAlignment="1">
      <alignment/>
    </xf>
    <xf numFmtId="183" fontId="0" fillId="0" borderId="0" xfId="0" applyNumberFormat="1" applyFill="1"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11"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2" fontId="0" fillId="0" borderId="11" xfId="0" applyNumberFormat="1" applyBorder="1" applyAlignment="1">
      <alignment horizontal="center"/>
    </xf>
    <xf numFmtId="0" fontId="0" fillId="0" borderId="12" xfId="0" applyBorder="1" applyAlignment="1">
      <alignment horizontal="center"/>
    </xf>
    <xf numFmtId="0" fontId="4" fillId="0" borderId="12" xfId="0" applyFont="1" applyBorder="1" applyAlignment="1">
      <alignment horizontal="lef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181" fontId="0" fillId="0" borderId="0" xfId="0" applyNumberFormat="1" applyAlignment="1">
      <alignment/>
    </xf>
    <xf numFmtId="183" fontId="0" fillId="0" borderId="0" xfId="0" applyNumberFormat="1" applyFont="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5" xfId="0" applyBorder="1" applyAlignment="1">
      <alignment/>
    </xf>
    <xf numFmtId="0" fontId="0" fillId="0" borderId="15" xfId="0" applyFill="1" applyBorder="1" applyAlignment="1">
      <alignment/>
    </xf>
    <xf numFmtId="0" fontId="0" fillId="0" borderId="0" xfId="0" applyBorder="1" applyAlignment="1">
      <alignment horizontal="center"/>
    </xf>
    <xf numFmtId="0" fontId="0" fillId="0" borderId="0" xfId="0" applyFill="1" applyBorder="1" applyAlignment="1">
      <alignment horizontal="center"/>
    </xf>
    <xf numFmtId="180" fontId="0" fillId="0" borderId="0" xfId="0" applyNumberFormat="1" applyFill="1" applyBorder="1" applyAlignment="1">
      <alignment horizontal="center"/>
    </xf>
    <xf numFmtId="0" fontId="0" fillId="10" borderId="0" xfId="0" applyFont="1" applyFill="1" applyAlignment="1">
      <alignment/>
    </xf>
    <xf numFmtId="180" fontId="0" fillId="0" borderId="0" xfId="0" applyNumberFormat="1" applyFill="1" applyAlignment="1">
      <alignment/>
    </xf>
    <xf numFmtId="0" fontId="0" fillId="0" borderId="0" xfId="0" applyFont="1" applyFill="1" applyAlignment="1">
      <alignment/>
    </xf>
    <xf numFmtId="180" fontId="0" fillId="0" borderId="16" xfId="0" applyNumberFormat="1" applyFill="1" applyBorder="1" applyAlignment="1">
      <alignment/>
    </xf>
    <xf numFmtId="0" fontId="0" fillId="32" borderId="0" xfId="0" applyFill="1" applyAlignment="1" applyProtection="1">
      <alignment/>
      <protection locked="0"/>
    </xf>
    <xf numFmtId="10" fontId="0" fillId="32" borderId="0" xfId="0" applyNumberFormat="1" applyFill="1" applyAlignment="1" applyProtection="1">
      <alignment/>
      <protection locked="0"/>
    </xf>
    <xf numFmtId="0" fontId="4" fillId="0" borderId="0" xfId="0" applyFont="1" applyFill="1" applyAlignment="1">
      <alignment/>
    </xf>
    <xf numFmtId="0" fontId="4" fillId="0" borderId="13" xfId="0" applyFont="1" applyBorder="1" applyAlignment="1">
      <alignment/>
    </xf>
    <xf numFmtId="0" fontId="4" fillId="0" borderId="17" xfId="0" applyFont="1" applyBorder="1" applyAlignment="1">
      <alignment/>
    </xf>
    <xf numFmtId="0" fontId="0" fillId="0" borderId="11" xfId="0" applyFill="1" applyBorder="1" applyAlignment="1">
      <alignment/>
    </xf>
    <xf numFmtId="0" fontId="4" fillId="0" borderId="11" xfId="0" applyFont="1" applyFill="1" applyBorder="1" applyAlignment="1">
      <alignment horizontal="center"/>
    </xf>
    <xf numFmtId="0" fontId="0" fillId="0" borderId="13" xfId="0" applyFill="1" applyBorder="1" applyAlignment="1">
      <alignment/>
    </xf>
    <xf numFmtId="180" fontId="0" fillId="0" borderId="18" xfId="0" applyNumberFormat="1" applyFill="1" applyBorder="1" applyAlignment="1">
      <alignment horizontal="center"/>
    </xf>
    <xf numFmtId="181" fontId="0" fillId="0" borderId="16" xfId="0" applyNumberFormat="1" applyFill="1" applyBorder="1" applyAlignment="1">
      <alignment/>
    </xf>
    <xf numFmtId="0" fontId="0" fillId="32" borderId="0" xfId="0" applyFill="1" applyBorder="1" applyAlignment="1" applyProtection="1">
      <alignment horizontal="center"/>
      <protection locked="0"/>
    </xf>
    <xf numFmtId="0" fontId="4" fillId="0" borderId="13" xfId="0" applyFont="1" applyFill="1" applyBorder="1" applyAlignment="1">
      <alignment/>
    </xf>
    <xf numFmtId="0" fontId="4" fillId="0" borderId="17" xfId="0" applyFont="1" applyFill="1" applyBorder="1" applyAlignment="1">
      <alignment/>
    </xf>
    <xf numFmtId="0" fontId="4" fillId="0" borderId="14" xfId="0" applyFont="1" applyBorder="1" applyAlignment="1">
      <alignment/>
    </xf>
    <xf numFmtId="0" fontId="4" fillId="0" borderId="0" xfId="0" applyFont="1" applyFill="1" applyBorder="1" applyAlignment="1">
      <alignment horizontal="center"/>
    </xf>
    <xf numFmtId="0" fontId="4" fillId="0" borderId="14" xfId="0" applyFont="1" applyFill="1" applyBorder="1" applyAlignment="1">
      <alignment/>
    </xf>
    <xf numFmtId="0" fontId="4" fillId="0" borderId="0" xfId="0" applyFont="1" applyFill="1" applyAlignment="1">
      <alignment horizontal="center"/>
    </xf>
    <xf numFmtId="0" fontId="4" fillId="0" borderId="18" xfId="0" applyFont="1" applyFill="1" applyBorder="1" applyAlignment="1">
      <alignment horizontal="center"/>
    </xf>
    <xf numFmtId="0" fontId="4" fillId="0" borderId="11" xfId="0" applyFont="1" applyBorder="1" applyAlignment="1">
      <alignment horizontal="left"/>
    </xf>
    <xf numFmtId="0" fontId="4" fillId="0" borderId="0" xfId="0" applyFont="1" applyAlignment="1">
      <alignment horizontal="left"/>
    </xf>
    <xf numFmtId="0" fontId="4" fillId="0" borderId="0" xfId="0" applyFont="1" applyAlignment="1">
      <alignment horizontal="centerContinuous"/>
    </xf>
    <xf numFmtId="0" fontId="7" fillId="0" borderId="0" xfId="0" applyFont="1" applyAlignment="1">
      <alignment/>
    </xf>
    <xf numFmtId="0" fontId="0" fillId="33" borderId="0" xfId="0" applyFill="1" applyAlignment="1">
      <alignment/>
    </xf>
    <xf numFmtId="0" fontId="4" fillId="0" borderId="0" xfId="0" applyFont="1" applyFill="1" applyBorder="1" applyAlignment="1">
      <alignment/>
    </xf>
    <xf numFmtId="183" fontId="0" fillId="10" borderId="0" xfId="0" applyNumberFormat="1" applyFill="1" applyAlignment="1">
      <alignment/>
    </xf>
    <xf numFmtId="181" fontId="0" fillId="10" borderId="0" xfId="0" applyNumberFormat="1" applyFill="1" applyBorder="1" applyAlignment="1">
      <alignment/>
    </xf>
    <xf numFmtId="181" fontId="0" fillId="10" borderId="0" xfId="0" applyNumberFormat="1" applyFill="1" applyAlignment="1">
      <alignment/>
    </xf>
    <xf numFmtId="183" fontId="0" fillId="10" borderId="0" xfId="0" applyNumberFormat="1" applyFont="1" applyFill="1" applyAlignment="1">
      <alignment/>
    </xf>
    <xf numFmtId="0" fontId="0" fillId="0" borderId="16" xfId="0" applyFont="1" applyBorder="1" applyAlignment="1">
      <alignment horizontal="center"/>
    </xf>
    <xf numFmtId="0" fontId="0" fillId="0" borderId="14" xfId="0"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4" xfId="0" applyFill="1" applyBorder="1" applyAlignment="1" applyProtection="1">
      <alignment horizontal="center"/>
      <protection/>
    </xf>
    <xf numFmtId="0" fontId="0" fillId="0" borderId="19" xfId="0" applyFont="1" applyBorder="1" applyAlignment="1" applyProtection="1">
      <alignment horizontal="center"/>
      <protection/>
    </xf>
    <xf numFmtId="0" fontId="0" fillId="32" borderId="0" xfId="0" applyFill="1" applyAlignment="1" applyProtection="1">
      <alignment horizontal="center"/>
      <protection locked="0"/>
    </xf>
    <xf numFmtId="49" fontId="0" fillId="32" borderId="13" xfId="0" applyNumberFormat="1" applyFill="1" applyBorder="1" applyAlignment="1" applyProtection="1">
      <alignment horizontal="center"/>
      <protection locked="0"/>
    </xf>
    <xf numFmtId="192" fontId="0" fillId="32" borderId="14" xfId="0" applyNumberFormat="1" applyFill="1" applyBorder="1" applyAlignment="1" applyProtection="1">
      <alignment/>
      <protection locked="0"/>
    </xf>
    <xf numFmtId="193" fontId="0" fillId="0" borderId="18" xfId="0" applyNumberFormat="1" applyFill="1" applyBorder="1" applyAlignment="1">
      <alignment horizontal="center"/>
    </xf>
    <xf numFmtId="0" fontId="4" fillId="0" borderId="14" xfId="0" applyFont="1" applyBorder="1" applyAlignment="1">
      <alignment horizontal="right"/>
    </xf>
    <xf numFmtId="192" fontId="0" fillId="0" borderId="14" xfId="0" applyNumberFormat="1" applyBorder="1" applyAlignment="1">
      <alignment/>
    </xf>
    <xf numFmtId="192" fontId="0" fillId="32" borderId="0" xfId="0" applyNumberFormat="1" applyFill="1" applyAlignment="1" applyProtection="1">
      <alignment/>
      <protection locked="0"/>
    </xf>
    <xf numFmtId="193" fontId="0" fillId="32" borderId="16" xfId="0" applyNumberFormat="1" applyFill="1" applyBorder="1" applyAlignment="1" applyProtection="1">
      <alignment/>
      <protection locked="0"/>
    </xf>
    <xf numFmtId="193" fontId="0" fillId="0" borderId="0" xfId="0" applyNumberFormat="1" applyFill="1" applyAlignment="1">
      <alignment/>
    </xf>
    <xf numFmtId="193" fontId="0" fillId="32" borderId="0" xfId="0" applyNumberFormat="1" applyFill="1" applyAlignment="1" applyProtection="1">
      <alignment/>
      <protection locked="0"/>
    </xf>
    <xf numFmtId="194" fontId="0" fillId="0" borderId="0" xfId="0" applyNumberFormat="1" applyFill="1" applyAlignment="1">
      <alignment/>
    </xf>
    <xf numFmtId="2" fontId="0" fillId="0" borderId="14" xfId="0" applyNumberFormat="1" applyFont="1" applyFill="1" applyBorder="1" applyAlignment="1" applyProtection="1">
      <alignment horizontal="center"/>
      <protection/>
    </xf>
    <xf numFmtId="2" fontId="0" fillId="0" borderId="14" xfId="0" applyNumberFormat="1" applyFill="1" applyBorder="1" applyAlignment="1" applyProtection="1">
      <alignment horizontal="center"/>
      <protection locked="0"/>
    </xf>
    <xf numFmtId="0" fontId="4" fillId="0" borderId="0" xfId="0" applyFont="1" applyFill="1" applyBorder="1" applyAlignment="1">
      <alignment horizontal="left"/>
    </xf>
    <xf numFmtId="0" fontId="4" fillId="0" borderId="10" xfId="0" applyFont="1" applyFill="1" applyBorder="1" applyAlignment="1">
      <alignment horizontal="center"/>
    </xf>
    <xf numFmtId="2" fontId="0" fillId="0" borderId="10" xfId="0" applyNumberFormat="1" applyBorder="1" applyAlignment="1">
      <alignment horizontal="center"/>
    </xf>
    <xf numFmtId="3" fontId="0" fillId="0" borderId="0" xfId="0" applyNumberFormat="1" applyAlignment="1">
      <alignment horizontal="center"/>
    </xf>
    <xf numFmtId="2" fontId="0" fillId="0" borderId="0" xfId="0" applyNumberFormat="1" applyBorder="1" applyAlignment="1">
      <alignment horizontal="center"/>
    </xf>
    <xf numFmtId="3" fontId="0" fillId="0" borderId="0" xfId="0" applyNumberFormat="1" applyBorder="1" applyAlignment="1">
      <alignment horizontal="center"/>
    </xf>
    <xf numFmtId="2" fontId="0" fillId="0" borderId="0" xfId="0" applyNumberFormat="1" applyFill="1" applyBorder="1" applyAlignment="1">
      <alignment horizontal="center"/>
    </xf>
    <xf numFmtId="3" fontId="0" fillId="0" borderId="11" xfId="0" applyNumberFormat="1"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0" fontId="4" fillId="0" borderId="20" xfId="0" applyFont="1" applyBorder="1" applyAlignment="1">
      <alignment horizontal="center"/>
    </xf>
    <xf numFmtId="0" fontId="4" fillId="0" borderId="21" xfId="0" applyFont="1" applyBorder="1" applyAlignment="1">
      <alignment horizontal="center"/>
    </xf>
    <xf numFmtId="0" fontId="4" fillId="0" borderId="18" xfId="0" applyFont="1" applyFill="1" applyBorder="1" applyAlignment="1">
      <alignment horizontal="center"/>
    </xf>
    <xf numFmtId="0" fontId="4" fillId="0" borderId="0" xfId="0" applyFont="1" applyFill="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0" xfId="0" applyFont="1" applyFill="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center"/>
    </xf>
    <xf numFmtId="0" fontId="4"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1075"/>
          <c:w val="0.8815"/>
          <c:h val="0.9255"/>
        </c:manualLayout>
      </c:layout>
      <c:lineChart>
        <c:grouping val="standard"/>
        <c:varyColors val="0"/>
        <c:ser>
          <c:idx val="0"/>
          <c:order val="0"/>
          <c:tx>
            <c:v>Distance de transport rentable (km)</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'Feuille 1'!$A$12:$A$42</c:f>
              <c:numCache>
                <c:ptCount val="31"/>
                <c:pt idx="0">
                  <c:v>-100</c:v>
                </c:pt>
                <c:pt idx="1">
                  <c:v>-90</c:v>
                </c:pt>
                <c:pt idx="2">
                  <c:v>-80</c:v>
                </c:pt>
                <c:pt idx="3">
                  <c:v>-70</c:v>
                </c:pt>
                <c:pt idx="4">
                  <c:v>-60</c:v>
                </c:pt>
                <c:pt idx="5">
                  <c:v>-50</c:v>
                </c:pt>
                <c:pt idx="6">
                  <c:v>-40</c:v>
                </c:pt>
                <c:pt idx="7">
                  <c:v>-30</c:v>
                </c:pt>
                <c:pt idx="8">
                  <c:v>-20</c:v>
                </c:pt>
                <c:pt idx="9">
                  <c:v>-10</c:v>
                </c:pt>
                <c:pt idx="10">
                  <c:v>0</c:v>
                </c:pt>
                <c:pt idx="11">
                  <c:v>10</c:v>
                </c:pt>
                <c:pt idx="12">
                  <c:v>20</c:v>
                </c:pt>
                <c:pt idx="13">
                  <c:v>30</c:v>
                </c:pt>
                <c:pt idx="14">
                  <c:v>40</c:v>
                </c:pt>
                <c:pt idx="15">
                  <c:v>50</c:v>
                </c:pt>
                <c:pt idx="16">
                  <c:v>60</c:v>
                </c:pt>
                <c:pt idx="17">
                  <c:v>70</c:v>
                </c:pt>
                <c:pt idx="18">
                  <c:v>80</c:v>
                </c:pt>
                <c:pt idx="19">
                  <c:v>90</c:v>
                </c:pt>
                <c:pt idx="20">
                  <c:v>100</c:v>
                </c:pt>
                <c:pt idx="21">
                  <c:v>110</c:v>
                </c:pt>
                <c:pt idx="22">
                  <c:v>120</c:v>
                </c:pt>
                <c:pt idx="23">
                  <c:v>130</c:v>
                </c:pt>
                <c:pt idx="24">
                  <c:v>140</c:v>
                </c:pt>
                <c:pt idx="25">
                  <c:v>150</c:v>
                </c:pt>
                <c:pt idx="26">
                  <c:v>160</c:v>
                </c:pt>
                <c:pt idx="27">
                  <c:v>170</c:v>
                </c:pt>
                <c:pt idx="28">
                  <c:v>180</c:v>
                </c:pt>
                <c:pt idx="29">
                  <c:v>190</c:v>
                </c:pt>
                <c:pt idx="30">
                  <c:v>200</c:v>
                </c:pt>
              </c:numCache>
            </c:numRef>
          </c:cat>
          <c:val>
            <c:numRef>
              <c:f>'Feuille 1'!$Q$12:$Q$42</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v>Temps de transport rentable (min)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'Feuille 1'!$R$12:$R$42</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25213077"/>
        <c:axId val="25591102"/>
      </c:lineChart>
      <c:catAx>
        <c:axId val="252130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Évolution du coût des engrais ($/tonne)</a:t>
                </a:r>
              </a:p>
            </c:rich>
          </c:tx>
          <c:layout>
            <c:manualLayout>
              <c:xMode val="factor"/>
              <c:yMode val="factor"/>
              <c:x val="-0.0115"/>
              <c:y val="0.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5591102"/>
        <c:crosses val="autoZero"/>
        <c:auto val="1"/>
        <c:lblOffset val="100"/>
        <c:tickLblSkip val="2"/>
        <c:noMultiLvlLbl val="0"/>
      </c:catAx>
      <c:valAx>
        <c:axId val="25591102"/>
        <c:scaling>
          <c:orientation val="minMax"/>
        </c:scaling>
        <c:axPos val="l"/>
        <c:delete val="0"/>
        <c:numFmt formatCode="General" sourceLinked="1"/>
        <c:majorTickMark val="out"/>
        <c:minorTickMark val="none"/>
        <c:tickLblPos val="nextTo"/>
        <c:spPr>
          <a:ln w="3175">
            <a:solidFill>
              <a:srgbClr val="000000"/>
            </a:solidFill>
          </a:ln>
        </c:spPr>
        <c:crossAx val="25213077"/>
        <c:crossesAt val="1"/>
        <c:crossBetween val="between"/>
        <c:dispUnits/>
        <c:majorUnit val="5"/>
      </c:valAx>
      <c:spPr>
        <a:noFill/>
        <a:ln>
          <a:noFill/>
        </a:ln>
      </c:spPr>
    </c:plotArea>
    <c:legend>
      <c:legendPos val="r"/>
      <c:layout>
        <c:manualLayout>
          <c:xMode val="edge"/>
          <c:yMode val="edge"/>
          <c:x val="0.51875"/>
          <c:y val="0.45075"/>
          <c:w val="0.32975"/>
          <c:h val="0.07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25"/>
          <c:w val="0.84225"/>
          <c:h val="0.87875"/>
        </c:manualLayout>
      </c:layout>
      <c:lineChart>
        <c:grouping val="standard"/>
        <c:varyColors val="0"/>
        <c:ser>
          <c:idx val="0"/>
          <c:order val="0"/>
          <c:tx>
            <c:v>Distance de transport rentable (km)</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'Feuille 2'!$B$3:$B$23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'Feuille 2'!$D$3:$D$23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tx>
            <c:v>Temps de transport rentable (min)</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'Feuille 2'!$E$3:$E$23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28993327"/>
        <c:axId val="59613352"/>
      </c:lineChart>
      <c:catAx>
        <c:axId val="2899332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Coût d'épandage ($/h)</a:t>
                </a:r>
              </a:p>
            </c:rich>
          </c:tx>
          <c:layout>
            <c:manualLayout>
              <c:xMode val="factor"/>
              <c:yMode val="factor"/>
              <c:x val="-0.0092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9613352"/>
        <c:crosses val="autoZero"/>
        <c:auto val="1"/>
        <c:lblOffset val="100"/>
        <c:tickLblSkip val="2"/>
        <c:noMultiLvlLbl val="0"/>
      </c:catAx>
      <c:valAx>
        <c:axId val="59613352"/>
        <c:scaling>
          <c:orientation val="minMax"/>
        </c:scaling>
        <c:axPos val="l"/>
        <c:delete val="0"/>
        <c:numFmt formatCode="General" sourceLinked="1"/>
        <c:majorTickMark val="out"/>
        <c:minorTickMark val="none"/>
        <c:tickLblPos val="nextTo"/>
        <c:spPr>
          <a:ln w="3175">
            <a:solidFill>
              <a:srgbClr val="000000"/>
            </a:solidFill>
          </a:ln>
        </c:spPr>
        <c:crossAx val="28993327"/>
        <c:crossesAt val="1"/>
        <c:crossBetween val="between"/>
        <c:dispUnits/>
        <c:majorUnit val="5"/>
      </c:valAx>
      <c:spPr>
        <a:noFill/>
        <a:ln>
          <a:noFill/>
        </a:ln>
      </c:spPr>
    </c:plotArea>
    <c:legend>
      <c:legendPos val="r"/>
      <c:layout>
        <c:manualLayout>
          <c:xMode val="edge"/>
          <c:yMode val="edge"/>
          <c:x val="0.57075"/>
          <c:y val="0.27125"/>
          <c:w val="0.271"/>
          <c:h val="0.13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3">
    <tabColor indexed="11"/>
  </sheetPr>
  <sheetViews>
    <sheetView workbookViewId="0" zoomScale="9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4">
    <tabColor indexed="11"/>
  </sheetPr>
  <sheetViews>
    <sheetView workbookViewId="0" zoomScale="9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Co&#251;t d''&#233;pandage ($ par h)'!A1" /></Relationships>
</file>

<file path=xl/drawings/_rels/drawing2.xml.rels><?xml version="1.0" encoding="utf-8" standalone="yes"?><Relationships xmlns="http://schemas.openxmlformats.org/package/2006/relationships"><Relationship Id="rId1" Type="http://schemas.openxmlformats.org/officeDocument/2006/relationships/hyperlink" Target="#'Valeur du fumier'!A1" /><Relationship Id="rId2" Type="http://schemas.openxmlformats.org/officeDocument/2006/relationships/hyperlink" Target="#'Champs additionnels'!A1" /></Relationships>
</file>

<file path=xl/drawings/_rels/drawing3.xml.rels><?xml version="1.0" encoding="utf-8" standalone="yes"?><Relationships xmlns="http://schemas.openxmlformats.org/package/2006/relationships"><Relationship Id="rId1" Type="http://schemas.openxmlformats.org/officeDocument/2006/relationships/hyperlink" Target="#'Co&#251;t d''&#233;pandage ($ par h)'!A1" /></Relationships>
</file>

<file path=xl/drawings/_rels/drawing4.xml.rels><?xml version="1.0" encoding="utf-8" standalone="yes"?><Relationships xmlns="http://schemas.openxmlformats.org/package/2006/relationships"><Relationship Id="rId1" Type="http://schemas.openxmlformats.org/officeDocument/2006/relationships/hyperlink" Target="#'Analyse du fumier type'!A1" /><Relationship Id="rId2" Type="http://schemas.openxmlformats.org/officeDocument/2006/relationships/hyperlink" Target="#'Disponibilit&#233; de l''azote'!A1" /><Relationship Id="rId3" Type="http://schemas.openxmlformats.org/officeDocument/2006/relationships/hyperlink" Target="#'Co&#251;t d''&#233;pandage ($ par h)'!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hyperlink" Target="#'Valeur du fumier'!A1" /></Relationships>
</file>

<file path=xl/drawings/_rels/drawing8.xml.rels><?xml version="1.0" encoding="utf-8" standalone="yes"?><Relationships xmlns="http://schemas.openxmlformats.org/package/2006/relationships"><Relationship Id="rId1" Type="http://schemas.openxmlformats.org/officeDocument/2006/relationships/hyperlink" Target="#'Valeur du fumi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19050</xdr:rowOff>
    </xdr:from>
    <xdr:to>
      <xdr:col>12</xdr:col>
      <xdr:colOff>76200</xdr:colOff>
      <xdr:row>22</xdr:row>
      <xdr:rowOff>85725</xdr:rowOff>
    </xdr:to>
    <xdr:sp>
      <xdr:nvSpPr>
        <xdr:cNvPr id="1" name="TextBox 1"/>
        <xdr:cNvSpPr txBox="1">
          <a:spLocks noChangeArrowheads="1"/>
        </xdr:cNvSpPr>
      </xdr:nvSpPr>
      <xdr:spPr>
        <a:xfrm>
          <a:off x="657225" y="180975"/>
          <a:ext cx="6734175" cy="34671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Calibri"/>
              <a:ea typeface="Calibri"/>
              <a:cs typeface="Calibri"/>
            </a:rPr>
            <a:t>Coût$dépandage </a:t>
          </a:r>
          <a:r>
            <a:rPr lang="en-US" cap="none" sz="1000" b="1" i="0" u="none" baseline="0">
              <a:solidFill>
                <a:srgbClr val="000000"/>
              </a:solidFill>
              <a:latin typeface="Calibri"/>
              <a:ea typeface="Calibri"/>
              <a:cs typeface="Calibri"/>
            </a:rPr>
            <a:t>ne remplace pas</a:t>
          </a:r>
          <a:r>
            <a:rPr lang="en-US" cap="none" sz="1000" b="0" i="0" u="none" baseline="0">
              <a:solidFill>
                <a:srgbClr val="000000"/>
              </a:solidFill>
              <a:latin typeface="Calibri"/>
              <a:ea typeface="Calibri"/>
              <a:cs typeface="Calibri"/>
            </a:rPr>
            <a:t> un bon plan de gestion des éléments nutritifs. Les agriculteurs doivent plutôt utiliser ce programme de concert avec un logiciel de gestion des éléments</a:t>
          </a:r>
          <a:r>
            <a:rPr lang="en-US" cap="none" sz="1000" b="0" i="0" u="none" baseline="0">
              <a:solidFill>
                <a:srgbClr val="000000"/>
              </a:solidFill>
              <a:latin typeface="Calibri"/>
              <a:ea typeface="Calibri"/>
              <a:cs typeface="Calibri"/>
            </a:rPr>
            <a:t> nutritifs</a:t>
          </a:r>
          <a:r>
            <a:rPr lang="en-US" cap="none" sz="1000" b="0" i="0" u="none" baseline="0">
              <a:solidFill>
                <a:srgbClr val="000000"/>
              </a:solidFill>
              <a:latin typeface="Calibri"/>
              <a:ea typeface="Calibri"/>
              <a:cs typeface="Calibri"/>
            </a:rPr>
            <a:t> (comme FertiPlan) pour l'élaboration des stratégies d'épandage du fumier. Les agriculteurs utiliseraient alors </a:t>
          </a:r>
          <a:r>
            <a:rPr lang="en-US" cap="none" sz="1000" b="0" i="0" u="none" baseline="0">
              <a:solidFill>
                <a:srgbClr val="000000"/>
              </a:solidFill>
              <a:latin typeface="Calibri"/>
              <a:ea typeface="Calibri"/>
              <a:cs typeface="Calibri"/>
            </a:rPr>
            <a:t>Coût$dépandage</a:t>
          </a:r>
          <a:r>
            <a:rPr lang="en-US" cap="none" sz="1000" b="0" i="0" u="none" baseline="0">
              <a:solidFill>
                <a:srgbClr val="000000"/>
              </a:solidFill>
              <a:latin typeface="Calibri"/>
              <a:ea typeface="Calibri"/>
              <a:cs typeface="Calibri"/>
            </a:rPr>
            <a:t> pour sélectionner les champs qui se situent à l'intérieur du rayon de transport rentable, qui doivent être équilibrés d'abord par l'utilisation du fumier disponible. Épandre du fumier dans ces champs plutôt que des engrais chimiques permet de réaliser des économies. L'épandage du fumier au-delà du rayon de transport rentable peut offrir des avantages environnementaux, communaux et agronomiques plus difficiles à justifier au plan financier.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principales hypothèses utilisées dan Coût$dépandage</a:t>
          </a:r>
          <a:r>
            <a:rPr lang="en-US" cap="none" sz="1000" b="0" i="0" u="none" baseline="0">
              <a:solidFill>
                <a:srgbClr val="000000"/>
              </a:solidFill>
              <a:latin typeface="Calibri"/>
              <a:ea typeface="Calibri"/>
              <a:cs typeface="Calibri"/>
            </a:rPr>
            <a:t> sont les suivantes :  
</a:t>
          </a:r>
          <a:r>
            <a:rPr lang="en-US" cap="none" sz="1000" b="0" i="0" u="none" baseline="0">
              <a:solidFill>
                <a:srgbClr val="000000"/>
              </a:solidFill>
              <a:latin typeface="Calibri"/>
              <a:ea typeface="Calibri"/>
              <a:cs typeface="Calibri"/>
            </a:rPr>
            <a:t>•  l'exploitation agricole doit faire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épandre le fumier et le coût est le même ($/h) peu importe le champ (c'est-à-dire</a:t>
          </a:r>
          <a:r>
            <a:rPr lang="en-US" cap="none" sz="1000" b="0" i="0" u="none" baseline="0">
              <a:solidFill>
                <a:srgbClr val="000000"/>
              </a:solidFill>
              <a:latin typeface="Calibri"/>
              <a:ea typeface="Calibri"/>
              <a:cs typeface="Calibri"/>
            </a:rPr>
            <a:t> que le coût d'épandage dans le champ même reste le même d'un champ à l'autre)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la valeur des micronutriments, des matières organiques et des crédits futurs pour l'azote organique n'est pas incluse dans la valeur du fumier. La valeur du fumier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est établie sur la base de la valeur des engrais chimiques pour l'année en culture (azote, phosphate et potasse), puisqu'il s'agit de l'option de remplacement pour l'application d'éléments nutritifs. Pour cette raison, la valeur du fumier pour les cultures, par unité appliquée, est</a:t>
          </a:r>
          <a:r>
            <a:rPr lang="en-US" cap="none" sz="1000" b="0" i="0" u="none" baseline="0">
              <a:solidFill>
                <a:srgbClr val="000000"/>
              </a:solidFill>
              <a:latin typeface="Calibri"/>
              <a:ea typeface="Calibri"/>
              <a:cs typeface="Calibri"/>
            </a:rPr>
            <a:t> probablement plus élevée</a:t>
          </a:r>
          <a:r>
            <a:rPr lang="en-US" cap="none" sz="1000" b="0" i="0" u="none" baseline="0">
              <a:solidFill>
                <a:srgbClr val="000000"/>
              </a:solidFill>
              <a:latin typeface="Calibri"/>
              <a:ea typeface="Calibri"/>
              <a:cs typeface="Calibri"/>
            </a:rPr>
            <a:t> que la valeur calculée par  Coût$dépandage;
</a:t>
          </a:r>
          <a:r>
            <a:rPr lang="en-US" cap="none" sz="1000" b="0" i="0" u="none" baseline="0">
              <a:solidFill>
                <a:srgbClr val="000000"/>
              </a:solidFill>
              <a:latin typeface="Calibri"/>
              <a:ea typeface="Calibri"/>
              <a:cs typeface="Calibri"/>
            </a:rPr>
            <a:t>•  l'équipement d'épandage n'est utilisé que pour le fumier. Tous les coûts de propriété et d'exploitation relié à cet équipement sont affectés à l'épandage du fumier;
</a:t>
          </a:r>
          <a:r>
            <a:rPr lang="en-US" cap="none" sz="1000" b="0" i="0" u="none" baseline="0">
              <a:solidFill>
                <a:srgbClr val="000000"/>
              </a:solidFill>
              <a:latin typeface="Calibri"/>
              <a:ea typeface="Calibri"/>
              <a:cs typeface="Calibri"/>
            </a:rPr>
            <a:t>•  les coûts de propriété et d'exploitation du tracteur sont établis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au prorata des heures consacrées à l'épandage du fumier, et seuls les coûts découland de l'épandage du fumier sont pris en compte.  
</a:t>
          </a:r>
          <a:r>
            <a:rPr lang="en-US" cap="none" sz="1000" b="0" i="0" u="none" baseline="0">
              <a:solidFill>
                <a:srgbClr val="000000"/>
              </a:solidFill>
              <a:latin typeface="Calibri"/>
              <a:ea typeface="Calibri"/>
              <a:cs typeface="Calibri"/>
            </a:rPr>
            <a:t>
</a:t>
          </a:r>
        </a:p>
      </xdr:txBody>
    </xdr:sp>
    <xdr:clientData/>
  </xdr:twoCellAnchor>
  <xdr:oneCellAnchor>
    <xdr:from>
      <xdr:col>4</xdr:col>
      <xdr:colOff>561975</xdr:colOff>
      <xdr:row>26</xdr:row>
      <xdr:rowOff>47625</xdr:rowOff>
    </xdr:from>
    <xdr:ext cx="1438275" cy="438150"/>
    <xdr:sp>
      <xdr:nvSpPr>
        <xdr:cNvPr id="2" name="TextBox 5">
          <a:hlinkClick r:id="rId1"/>
        </xdr:cNvPr>
        <xdr:cNvSpPr txBox="1">
          <a:spLocks noChangeArrowheads="1"/>
        </xdr:cNvSpPr>
      </xdr:nvSpPr>
      <xdr:spPr>
        <a:xfrm>
          <a:off x="3000375" y="4257675"/>
          <a:ext cx="1438275" cy="438150"/>
        </a:xfrm>
        <a:prstGeom prst="rect">
          <a:avLst/>
        </a:prstGeom>
        <a:solidFill>
          <a:srgbClr val="4F81BD"/>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Commencer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628650</xdr:colOff>
      <xdr:row>21</xdr:row>
      <xdr:rowOff>104775</xdr:rowOff>
    </xdr:from>
    <xdr:ext cx="1352550" cy="266700"/>
    <xdr:sp>
      <xdr:nvSpPr>
        <xdr:cNvPr id="1" name="TextBox 1">
          <a:hlinkClick r:id="rId1"/>
        </xdr:cNvPr>
        <xdr:cNvSpPr txBox="1">
          <a:spLocks noChangeArrowheads="1"/>
        </xdr:cNvSpPr>
      </xdr:nvSpPr>
      <xdr:spPr>
        <a:xfrm>
          <a:off x="4819650" y="3609975"/>
          <a:ext cx="1352550" cy="26670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Valeur du fumier</a:t>
          </a:r>
        </a:p>
      </xdr:txBody>
    </xdr:sp>
    <xdr:clientData/>
  </xdr:oneCellAnchor>
  <xdr:oneCellAnchor>
    <xdr:from>
      <xdr:col>4</xdr:col>
      <xdr:colOff>647700</xdr:colOff>
      <xdr:row>16</xdr:row>
      <xdr:rowOff>0</xdr:rowOff>
    </xdr:from>
    <xdr:ext cx="1352550" cy="476250"/>
    <xdr:sp>
      <xdr:nvSpPr>
        <xdr:cNvPr id="2" name="TextBox 1">
          <a:hlinkClick r:id="rId2"/>
        </xdr:cNvPr>
        <xdr:cNvSpPr txBox="1">
          <a:spLocks noChangeArrowheads="1"/>
        </xdr:cNvSpPr>
      </xdr:nvSpPr>
      <xdr:spPr>
        <a:xfrm>
          <a:off x="4838700" y="2657475"/>
          <a:ext cx="1352550" cy="47625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Champs additionnels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447675</xdr:colOff>
      <xdr:row>2</xdr:row>
      <xdr:rowOff>152400</xdr:rowOff>
    </xdr:from>
    <xdr:ext cx="1438275" cy="438150"/>
    <xdr:sp>
      <xdr:nvSpPr>
        <xdr:cNvPr id="1" name="TextBox 5">
          <a:hlinkClick r:id="rId1"/>
        </xdr:cNvPr>
        <xdr:cNvSpPr txBox="1">
          <a:spLocks noChangeArrowheads="1"/>
        </xdr:cNvSpPr>
      </xdr:nvSpPr>
      <xdr:spPr>
        <a:xfrm>
          <a:off x="4762500" y="485775"/>
          <a:ext cx="1438275" cy="43815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Retour au Coût d'épandage($/h)</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18</xdr:row>
      <xdr:rowOff>57150</xdr:rowOff>
    </xdr:from>
    <xdr:ext cx="1352550" cy="457200"/>
    <xdr:sp>
      <xdr:nvSpPr>
        <xdr:cNvPr id="1" name="TextBox 3">
          <a:hlinkClick r:id="rId1"/>
        </xdr:cNvPr>
        <xdr:cNvSpPr txBox="1">
          <a:spLocks noChangeArrowheads="1"/>
        </xdr:cNvSpPr>
      </xdr:nvSpPr>
      <xdr:spPr>
        <a:xfrm>
          <a:off x="5305425" y="3086100"/>
          <a:ext cx="1352550" cy="45720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Analyse de fumier type</a:t>
          </a:r>
        </a:p>
      </xdr:txBody>
    </xdr:sp>
    <xdr:clientData/>
  </xdr:oneCellAnchor>
  <xdr:oneCellAnchor>
    <xdr:from>
      <xdr:col>6</xdr:col>
      <xdr:colOff>9525</xdr:colOff>
      <xdr:row>21</xdr:row>
      <xdr:rowOff>152400</xdr:rowOff>
    </xdr:from>
    <xdr:ext cx="1323975" cy="438150"/>
    <xdr:sp>
      <xdr:nvSpPr>
        <xdr:cNvPr id="2" name="TextBox 4">
          <a:hlinkClick r:id="rId2"/>
        </xdr:cNvPr>
        <xdr:cNvSpPr txBox="1">
          <a:spLocks noChangeArrowheads="1"/>
        </xdr:cNvSpPr>
      </xdr:nvSpPr>
      <xdr:spPr>
        <a:xfrm>
          <a:off x="5305425" y="3714750"/>
          <a:ext cx="1323975" cy="43815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Disponibilité de l'azote</a:t>
          </a:r>
        </a:p>
      </xdr:txBody>
    </xdr:sp>
    <xdr:clientData/>
  </xdr:oneCellAnchor>
  <xdr:oneCellAnchor>
    <xdr:from>
      <xdr:col>5</xdr:col>
      <xdr:colOff>609600</xdr:colOff>
      <xdr:row>7</xdr:row>
      <xdr:rowOff>76200</xdr:rowOff>
    </xdr:from>
    <xdr:ext cx="1438275" cy="438150"/>
    <xdr:sp>
      <xdr:nvSpPr>
        <xdr:cNvPr id="3" name="TextBox 5">
          <a:hlinkClick r:id="rId3"/>
        </xdr:cNvPr>
        <xdr:cNvSpPr txBox="1">
          <a:spLocks noChangeArrowheads="1"/>
        </xdr:cNvSpPr>
      </xdr:nvSpPr>
      <xdr:spPr>
        <a:xfrm>
          <a:off x="5286375" y="1257300"/>
          <a:ext cx="1438275" cy="43815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Retour au coût d'épandage ($/h)</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276225</xdr:colOff>
      <xdr:row>2</xdr:row>
      <xdr:rowOff>171450</xdr:rowOff>
    </xdr:from>
    <xdr:ext cx="1819275" cy="466725"/>
    <xdr:sp>
      <xdr:nvSpPr>
        <xdr:cNvPr id="1" name="TextBox 3">
          <a:hlinkClick r:id="rId1"/>
        </xdr:cNvPr>
        <xdr:cNvSpPr txBox="1">
          <a:spLocks noChangeArrowheads="1"/>
        </xdr:cNvSpPr>
      </xdr:nvSpPr>
      <xdr:spPr>
        <a:xfrm>
          <a:off x="7581900" y="495300"/>
          <a:ext cx="1819275" cy="466725"/>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Retour à la Valeur du fumier</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17</xdr:row>
      <xdr:rowOff>152400</xdr:rowOff>
    </xdr:from>
    <xdr:ext cx="1419225" cy="466725"/>
    <xdr:sp>
      <xdr:nvSpPr>
        <xdr:cNvPr id="1" name="TextBox 3">
          <a:hlinkClick r:id="rId1"/>
        </xdr:cNvPr>
        <xdr:cNvSpPr txBox="1">
          <a:spLocks noChangeArrowheads="1"/>
        </xdr:cNvSpPr>
      </xdr:nvSpPr>
      <xdr:spPr>
        <a:xfrm>
          <a:off x="7648575" y="2924175"/>
          <a:ext cx="1419225" cy="466725"/>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Retour à la Valeur du fumier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tabSelected="1" zoomScalePageLayoutView="0" workbookViewId="0" topLeftCell="B1">
      <selection activeCell="B1" sqref="B1"/>
    </sheetView>
  </sheetViews>
  <sheetFormatPr defaultColWidth="9.140625" defaultRowHeight="12.75"/>
  <sheetData/>
  <sheetProtection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3"/>
  </sheetPr>
  <dimension ref="A1:H29"/>
  <sheetViews>
    <sheetView zoomScalePageLayoutView="0" workbookViewId="0" topLeftCell="A1">
      <selection activeCell="A1" sqref="A1"/>
    </sheetView>
  </sheetViews>
  <sheetFormatPr defaultColWidth="9.140625" defaultRowHeight="12.75"/>
  <cols>
    <col min="1" max="1" width="35.28125" style="0" bestFit="1" customWidth="1"/>
    <col min="2" max="3" width="9.7109375" style="0" bestFit="1" customWidth="1"/>
    <col min="4" max="4" width="8.140625" style="0" customWidth="1"/>
    <col min="5" max="5" width="39.00390625" style="0" bestFit="1" customWidth="1"/>
    <col min="6" max="6" width="7.28125" style="0" bestFit="1" customWidth="1"/>
  </cols>
  <sheetData>
    <row r="1" ht="12.75">
      <c r="A1" s="25" t="s">
        <v>94</v>
      </c>
    </row>
    <row r="2" spans="1:7" ht="13.5" thickBot="1">
      <c r="A2" s="102" t="s">
        <v>13</v>
      </c>
      <c r="B2" s="102"/>
      <c r="C2" s="102"/>
      <c r="D2" s="5"/>
      <c r="E2" s="29"/>
      <c r="F2" s="29"/>
      <c r="G2" s="29"/>
    </row>
    <row r="3" spans="1:6" ht="12.75">
      <c r="A3" s="49"/>
      <c r="B3" s="50" t="s">
        <v>86</v>
      </c>
      <c r="C3" s="50" t="s">
        <v>87</v>
      </c>
      <c r="D3" s="4"/>
      <c r="E3" s="25" t="s">
        <v>69</v>
      </c>
      <c r="F3" s="86">
        <v>12.5</v>
      </c>
    </row>
    <row r="4" spans="1:6" ht="12.75">
      <c r="A4" s="46" t="s">
        <v>55</v>
      </c>
      <c r="B4" s="83">
        <v>0</v>
      </c>
      <c r="C4" s="83">
        <v>0</v>
      </c>
      <c r="D4" s="4"/>
      <c r="E4" s="25" t="s">
        <v>88</v>
      </c>
      <c r="F4" s="86">
        <v>1</v>
      </c>
    </row>
    <row r="5" spans="1:6" ht="12.75">
      <c r="A5" s="46" t="s">
        <v>60</v>
      </c>
      <c r="B5" s="44">
        <v>0</v>
      </c>
      <c r="C5" s="44">
        <v>0</v>
      </c>
      <c r="D5" s="4"/>
      <c r="E5" s="65" t="s">
        <v>70</v>
      </c>
      <c r="F5" s="45">
        <v>0.1</v>
      </c>
    </row>
    <row r="6" spans="1:6" ht="12.75">
      <c r="A6" s="46" t="s">
        <v>118</v>
      </c>
      <c r="B6" s="44">
        <v>0</v>
      </c>
      <c r="C6" s="44">
        <v>0</v>
      </c>
      <c r="D6" s="4"/>
      <c r="E6" s="25" t="s">
        <v>71</v>
      </c>
      <c r="F6" s="44">
        <v>0</v>
      </c>
    </row>
    <row r="7" spans="1:4" ht="12.75">
      <c r="A7" s="46" t="s">
        <v>56</v>
      </c>
      <c r="B7" s="44">
        <v>0</v>
      </c>
      <c r="C7" s="4"/>
      <c r="D7" s="4"/>
    </row>
    <row r="8" spans="1:8" ht="12.75">
      <c r="A8" s="46" t="s">
        <v>115</v>
      </c>
      <c r="B8" s="4"/>
      <c r="C8" s="44">
        <v>0</v>
      </c>
      <c r="D8" s="42"/>
      <c r="E8" s="27"/>
      <c r="F8" s="27"/>
      <c r="G8" s="27"/>
      <c r="H8" s="27"/>
    </row>
    <row r="9" spans="1:8" ht="13.5" thickBot="1">
      <c r="A9" s="46" t="s">
        <v>57</v>
      </c>
      <c r="B9" s="87">
        <f>IF($B$7&lt;80,((0.981-(0.093*($B$5^0.5))-(0.0058*($B$6^0.5)))^2),(IF($B$7&gt;150,((0.976-(0.119*($B$5^0.5))-(0.0019*($B$6^0.5)))^2),((0.942-(0.1*($B$5^0.5))-(0.0008*($B$6^0.5)))^2))))</f>
        <v>0.962361</v>
      </c>
      <c r="C9" s="87">
        <f>(0.943-(0.111*($C$5^0.5))-(0*($C$6^0.5)))^2</f>
        <v>0.889249</v>
      </c>
      <c r="D9" s="42"/>
      <c r="F9" s="27"/>
      <c r="G9" s="27"/>
      <c r="H9" s="27"/>
    </row>
    <row r="10" spans="1:8" ht="12.75">
      <c r="A10" s="46"/>
      <c r="B10" s="4"/>
      <c r="C10" s="4"/>
      <c r="D10" s="42"/>
      <c r="E10" s="100" t="s">
        <v>111</v>
      </c>
      <c r="F10" s="101"/>
      <c r="G10" s="27"/>
      <c r="H10" s="27"/>
    </row>
    <row r="11" spans="1:8" ht="12.75">
      <c r="A11" s="46" t="s">
        <v>58</v>
      </c>
      <c r="B11" s="41" t="e">
        <f>(($B$4-($B$4*$B$9))/$B$5)*$C$6/$B$6</f>
        <v>#DIV/0!</v>
      </c>
      <c r="C11" s="41" t="e">
        <f>($C$4-($C$4*$C$9))/$C$5</f>
        <v>#DIV/0!</v>
      </c>
      <c r="D11" s="42"/>
      <c r="E11" s="47" t="s">
        <v>72</v>
      </c>
      <c r="F11" s="75">
        <f>'Champs additionnels'!B3</f>
        <v>0</v>
      </c>
      <c r="G11" s="29"/>
      <c r="H11" s="27"/>
    </row>
    <row r="12" spans="1:8" ht="12.75">
      <c r="A12" s="46" t="s">
        <v>59</v>
      </c>
      <c r="B12" s="41" t="e">
        <f>((($B$4+($B$4*$B$9))/2)*$F$5)*$C$6/$B$6</f>
        <v>#DIV/0!</v>
      </c>
      <c r="C12" s="85">
        <f>(($C$4+($C$4*$C$9))/2)*$F$5</f>
        <v>0</v>
      </c>
      <c r="D12" s="42"/>
      <c r="E12" s="47" t="s">
        <v>96</v>
      </c>
      <c r="F12" s="88" t="e">
        <f>'Champs additionnels'!B4</f>
        <v>#DIV/0!</v>
      </c>
      <c r="G12" s="27"/>
      <c r="H12" s="27"/>
    </row>
    <row r="13" spans="1:8" ht="13.5" thickBot="1">
      <c r="A13" s="46" t="s">
        <v>61</v>
      </c>
      <c r="B13" s="43" t="e">
        <f>SUM(B11:B12)</f>
        <v>#DIV/0!</v>
      </c>
      <c r="C13" s="43" t="e">
        <f>SUM(C11:C12)</f>
        <v>#DIV/0!</v>
      </c>
      <c r="D13" s="42"/>
      <c r="E13" s="55"/>
      <c r="F13" s="74"/>
      <c r="G13" s="28"/>
      <c r="H13" s="27"/>
    </row>
    <row r="14" spans="1:8" ht="14.25" thickBot="1" thickTop="1">
      <c r="A14" s="46"/>
      <c r="B14" s="41"/>
      <c r="C14" s="41"/>
      <c r="D14" s="42"/>
      <c r="E14" s="47" t="s">
        <v>119</v>
      </c>
      <c r="F14" s="76" t="e">
        <f>'Champs additionnels'!B6</f>
        <v>#DIV/0!</v>
      </c>
      <c r="G14" s="29"/>
      <c r="H14" s="27"/>
    </row>
    <row r="15" spans="1:8" ht="14.25" thickBot="1" thickTop="1">
      <c r="A15" s="46" t="s">
        <v>62</v>
      </c>
      <c r="B15" s="41" t="e">
        <f>((0.007*$B$4*($B$5*$B$6/1000)^2)/$B$5)*$C$6/$B$6</f>
        <v>#DIV/0!</v>
      </c>
      <c r="C15" s="41" t="e">
        <f>(0.22*$C$4*($C$5*$C$6/1000)^1.8)/$C$5</f>
        <v>#DIV/0!</v>
      </c>
      <c r="D15" s="42"/>
      <c r="E15" s="48" t="s">
        <v>120</v>
      </c>
      <c r="F15" s="35"/>
      <c r="G15" s="27"/>
      <c r="H15" s="27"/>
    </row>
    <row r="16" spans="1:8" ht="12.75">
      <c r="A16" s="46" t="s">
        <v>63</v>
      </c>
      <c r="B16" s="85">
        <f>1.15*$F$4*0.73*0.305*$B$7*$C$6</f>
        <v>0</v>
      </c>
      <c r="C16" s="41"/>
      <c r="D16" s="42"/>
      <c r="G16" s="27"/>
      <c r="H16" s="27"/>
    </row>
    <row r="17" spans="1:8" ht="12.75">
      <c r="A17" s="46" t="s">
        <v>64</v>
      </c>
      <c r="B17" s="85">
        <f>1.1*$C$6*$F$3</f>
        <v>0</v>
      </c>
      <c r="C17" s="41"/>
      <c r="D17" s="42"/>
      <c r="E17" s="29"/>
      <c r="F17" s="27"/>
      <c r="G17" s="27"/>
      <c r="H17" s="27"/>
    </row>
    <row r="18" spans="1:8" ht="13.5" thickBot="1">
      <c r="A18" s="46" t="s">
        <v>65</v>
      </c>
      <c r="B18" s="43" t="e">
        <f>SUM(B15:B17)</f>
        <v>#DIV/0!</v>
      </c>
      <c r="C18" s="43" t="e">
        <f>SUM(C15:C17)</f>
        <v>#DIV/0!</v>
      </c>
      <c r="D18" s="42"/>
      <c r="E18" s="11"/>
      <c r="F18" s="11"/>
      <c r="G18" s="11"/>
      <c r="H18" s="11"/>
    </row>
    <row r="19" spans="1:8" ht="13.5" thickTop="1">
      <c r="A19" s="46"/>
      <c r="B19" s="3"/>
      <c r="C19" s="3"/>
      <c r="D19" s="42"/>
      <c r="E19" s="11"/>
      <c r="F19" s="11"/>
      <c r="G19" s="11"/>
      <c r="H19" s="11"/>
    </row>
    <row r="20" spans="1:8" ht="13.5" thickBot="1">
      <c r="A20" s="46" t="s">
        <v>66</v>
      </c>
      <c r="B20" s="43" t="e">
        <f>$B13+$B18</f>
        <v>#DIV/0!</v>
      </c>
      <c r="C20" s="43" t="e">
        <f>$C13+$C18</f>
        <v>#DIV/0!</v>
      </c>
      <c r="D20" s="42"/>
      <c r="E20" s="11"/>
      <c r="F20" s="11"/>
      <c r="G20" s="11"/>
      <c r="H20" s="11"/>
    </row>
    <row r="21" spans="1:8" ht="13.5" thickTop="1">
      <c r="A21" s="46"/>
      <c r="B21" s="4"/>
      <c r="C21" s="4"/>
      <c r="D21" s="42"/>
      <c r="E21" s="11"/>
      <c r="F21" s="11"/>
      <c r="G21" s="11"/>
      <c r="H21" s="11"/>
    </row>
    <row r="22" spans="1:4" ht="12.75">
      <c r="A22" s="46" t="s">
        <v>68</v>
      </c>
      <c r="B22" s="41" t="e">
        <f>$B$20/$C$6</f>
        <v>#DIV/0!</v>
      </c>
      <c r="C22" s="41" t="e">
        <f>$C$20/$C$6</f>
        <v>#DIV/0!</v>
      </c>
      <c r="D22" s="4"/>
    </row>
    <row r="23" spans="1:4" ht="13.5" thickBot="1">
      <c r="A23" s="46" t="s">
        <v>67</v>
      </c>
      <c r="B23" s="4"/>
      <c r="C23" s="43" t="e">
        <f>$B22+$C22</f>
        <v>#DIV/0!</v>
      </c>
      <c r="D23" s="4"/>
    </row>
    <row r="24" spans="1:4" ht="13.5" thickTop="1">
      <c r="A24" s="46"/>
      <c r="B24" s="4"/>
      <c r="C24" s="3"/>
      <c r="D24" s="4"/>
    </row>
    <row r="25" spans="1:4" ht="13.5" thickBot="1">
      <c r="A25" s="102" t="s">
        <v>14</v>
      </c>
      <c r="B25" s="102"/>
      <c r="C25" s="102"/>
      <c r="D25" s="4"/>
    </row>
    <row r="26" spans="1:4" ht="12.75">
      <c r="A26" s="58"/>
      <c r="B26" s="58"/>
      <c r="C26" s="58"/>
      <c r="D26" s="4"/>
    </row>
    <row r="27" spans="1:4" ht="13.5" thickBot="1">
      <c r="A27" s="46" t="s">
        <v>112</v>
      </c>
      <c r="B27" s="4"/>
      <c r="C27" s="84">
        <v>0</v>
      </c>
      <c r="D27" s="4"/>
    </row>
    <row r="28" ht="13.5" thickTop="1">
      <c r="A28" s="25" t="s">
        <v>113</v>
      </c>
    </row>
    <row r="29" ht="12.75">
      <c r="A29" s="55" t="s">
        <v>114</v>
      </c>
    </row>
  </sheetData>
  <sheetProtection sheet="1" objects="1" scenarios="1"/>
  <mergeCells count="3">
    <mergeCell ref="E10:F10"/>
    <mergeCell ref="A2:C2"/>
    <mergeCell ref="A25:C25"/>
  </mergeCells>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tabColor indexed="43"/>
  </sheetPr>
  <dimension ref="A2:L16"/>
  <sheetViews>
    <sheetView zoomScalePageLayoutView="0" workbookViewId="0" topLeftCell="A1">
      <selection activeCell="A1" sqref="A1"/>
    </sheetView>
  </sheetViews>
  <sheetFormatPr defaultColWidth="9.140625" defaultRowHeight="12.75"/>
  <cols>
    <col min="1" max="1" width="41.140625" style="0" customWidth="1"/>
    <col min="2" max="11" width="7.8515625" style="0" customWidth="1"/>
  </cols>
  <sheetData>
    <row r="1" ht="13.5" thickBot="1"/>
    <row r="2" spans="1:3" ht="12.75">
      <c r="A2" s="100" t="s">
        <v>111</v>
      </c>
      <c r="B2" s="101"/>
      <c r="C2" s="27"/>
    </row>
    <row r="3" spans="1:3" ht="12.75">
      <c r="A3" s="47" t="s">
        <v>52</v>
      </c>
      <c r="B3" s="73">
        <f>B11+C11+D11+E11+F11+G11+H11+I11+J11+K11</f>
        <v>0</v>
      </c>
      <c r="C3" s="29"/>
    </row>
    <row r="4" spans="1:3" ht="12.75">
      <c r="A4" s="47" t="s">
        <v>53</v>
      </c>
      <c r="B4" s="89" t="e">
        <f>((B12*B11)+(C12*C11)+(D12*D11)+(E12*E11)+(F12*F11)+(G12*G11)+(H12*H11)+(I12*I11)+(J12*J11)+(K12*K11))/B3</f>
        <v>#DIV/0!</v>
      </c>
      <c r="C4" s="27"/>
    </row>
    <row r="5" spans="1:3" ht="12.75">
      <c r="A5" s="55"/>
      <c r="B5" s="74"/>
      <c r="C5" s="28"/>
    </row>
    <row r="6" spans="1:3" ht="12.75">
      <c r="A6" s="47" t="s">
        <v>116</v>
      </c>
      <c r="B6" s="73" t="e">
        <f>B15+C15+D15+E15+F15+G15+H15+I15+J15+K15</f>
        <v>#DIV/0!</v>
      </c>
      <c r="C6" s="29"/>
    </row>
    <row r="7" spans="1:3" ht="13.5" thickBot="1">
      <c r="A7" s="48" t="s">
        <v>117</v>
      </c>
      <c r="B7" s="36"/>
      <c r="C7" s="27"/>
    </row>
    <row r="8" ht="12.75">
      <c r="C8" s="27"/>
    </row>
    <row r="9" ht="12.75">
      <c r="C9" s="27"/>
    </row>
    <row r="10" spans="1:11" ht="12.75">
      <c r="A10" s="25" t="s">
        <v>51</v>
      </c>
      <c r="B10" s="14">
        <v>1</v>
      </c>
      <c r="C10" s="14">
        <v>2</v>
      </c>
      <c r="D10" s="14">
        <v>3</v>
      </c>
      <c r="E10" s="14">
        <v>4</v>
      </c>
      <c r="F10" s="14">
        <v>5</v>
      </c>
      <c r="G10" s="14">
        <v>6</v>
      </c>
      <c r="H10" s="14">
        <v>7</v>
      </c>
      <c r="I10" s="14">
        <v>8</v>
      </c>
      <c r="J10" s="14">
        <v>9</v>
      </c>
      <c r="K10" s="14">
        <v>10</v>
      </c>
    </row>
    <row r="11" spans="1:11" ht="12.75">
      <c r="A11" s="47" t="s">
        <v>95</v>
      </c>
      <c r="B11" s="77">
        <v>0</v>
      </c>
      <c r="C11" s="77">
        <v>0</v>
      </c>
      <c r="D11" s="77">
        <v>0</v>
      </c>
      <c r="E11" s="77">
        <v>0</v>
      </c>
      <c r="F11" s="77">
        <v>0</v>
      </c>
      <c r="G11" s="77">
        <v>0</v>
      </c>
      <c r="H11" s="77">
        <v>0</v>
      </c>
      <c r="I11" s="77">
        <v>0</v>
      </c>
      <c r="J11" s="77">
        <v>0</v>
      </c>
      <c r="K11" s="77">
        <v>0</v>
      </c>
    </row>
    <row r="12" spans="1:11" ht="12.75">
      <c r="A12" s="47" t="s">
        <v>96</v>
      </c>
      <c r="B12" s="77">
        <v>0</v>
      </c>
      <c r="C12" s="77">
        <v>0</v>
      </c>
      <c r="D12" s="77">
        <v>0</v>
      </c>
      <c r="E12" s="77">
        <v>0</v>
      </c>
      <c r="F12" s="77">
        <v>0</v>
      </c>
      <c r="G12" s="77">
        <v>0</v>
      </c>
      <c r="H12" s="77">
        <v>0</v>
      </c>
      <c r="I12" s="77">
        <v>0</v>
      </c>
      <c r="J12" s="77">
        <v>0</v>
      </c>
      <c r="K12" s="77">
        <v>0</v>
      </c>
    </row>
    <row r="13" spans="1:11" ht="12.75">
      <c r="A13" s="67" t="s">
        <v>73</v>
      </c>
      <c r="B13" s="77">
        <v>0</v>
      </c>
      <c r="C13" s="77">
        <v>0</v>
      </c>
      <c r="D13" s="77">
        <v>0</v>
      </c>
      <c r="E13" s="77">
        <v>0</v>
      </c>
      <c r="F13" s="77">
        <v>0</v>
      </c>
      <c r="G13" s="77">
        <v>0</v>
      </c>
      <c r="H13" s="77">
        <v>0</v>
      </c>
      <c r="I13" s="77">
        <v>0</v>
      </c>
      <c r="J13" s="77">
        <v>0</v>
      </c>
      <c r="K13" s="77">
        <v>0</v>
      </c>
    </row>
    <row r="14" spans="1:11" ht="12.75">
      <c r="A14" s="25"/>
      <c r="B14" s="9"/>
      <c r="C14" s="9"/>
      <c r="D14" s="9"/>
      <c r="E14" s="9"/>
      <c r="F14" s="9"/>
      <c r="G14" s="9"/>
      <c r="H14" s="9"/>
      <c r="I14" s="9"/>
      <c r="J14" s="9"/>
      <c r="K14" s="9"/>
    </row>
    <row r="15" spans="1:12" ht="13.5" thickBot="1">
      <c r="A15" s="25" t="s">
        <v>54</v>
      </c>
      <c r="B15" s="72" t="e">
        <f>2*B11*B12*B13/'Coût d''épandage ($ par h)'!$F$6</f>
        <v>#DIV/0!</v>
      </c>
      <c r="C15" s="72" t="e">
        <f>2*C11*C12*C13/'Coût d''épandage ($ par h)'!$F$6</f>
        <v>#DIV/0!</v>
      </c>
      <c r="D15" s="72" t="e">
        <f>2*D11*D12*D13/'Coût d''épandage ($ par h)'!$F$6</f>
        <v>#DIV/0!</v>
      </c>
      <c r="E15" s="72" t="e">
        <f>2*E11*E12*E13/'Coût d''épandage ($ par h)'!$F$6</f>
        <v>#DIV/0!</v>
      </c>
      <c r="F15" s="72" t="e">
        <f>2*F11*F12*F13/'Coût d''épandage ($ par h)'!$F$6</f>
        <v>#DIV/0!</v>
      </c>
      <c r="G15" s="72" t="e">
        <f>2*G11*G12*G13/'Coût d''épandage ($ par h)'!$F$6</f>
        <v>#DIV/0!</v>
      </c>
      <c r="H15" s="72" t="e">
        <f>2*H11*H12*H13/'Coût d''épandage ($ par h)'!$F$6</f>
        <v>#DIV/0!</v>
      </c>
      <c r="I15" s="72" t="e">
        <f>2*I11*I12*I13/'Coût d''épandage ($ par h)'!$F$6</f>
        <v>#DIV/0!</v>
      </c>
      <c r="J15" s="72" t="e">
        <f>2*J11*J12*J13/'Coût d''épandage ($ par h)'!$F$6</f>
        <v>#DIV/0!</v>
      </c>
      <c r="K15" s="72" t="e">
        <f>2*K11*K12*K13/'Coût d''épandage ($ par h)'!$F$6</f>
        <v>#DIV/0!</v>
      </c>
      <c r="L15" s="29"/>
    </row>
    <row r="16" spans="2:12" ht="13.5" thickTop="1">
      <c r="B16" s="29"/>
      <c r="C16" s="29"/>
      <c r="D16" s="29"/>
      <c r="E16" s="29"/>
      <c r="F16" s="29"/>
      <c r="G16" s="29"/>
      <c r="H16" s="29"/>
      <c r="I16" s="29"/>
      <c r="J16" s="29"/>
      <c r="K16" s="29"/>
      <c r="L16" s="29"/>
    </row>
  </sheetData>
  <sheetProtection sheet="1" objects="1" scenarios="1"/>
  <mergeCells count="1">
    <mergeCell ref="A2:B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43"/>
  </sheetPr>
  <dimension ref="A1:G30"/>
  <sheetViews>
    <sheetView zoomScalePageLayoutView="0" workbookViewId="0" topLeftCell="A1">
      <selection activeCell="E34" sqref="E34"/>
    </sheetView>
  </sheetViews>
  <sheetFormatPr defaultColWidth="9.140625" defaultRowHeight="12.75"/>
  <cols>
    <col min="1" max="1" width="28.140625" style="0" customWidth="1"/>
    <col min="2" max="2" width="7.00390625" style="0" bestFit="1" customWidth="1"/>
    <col min="3" max="3" width="12.140625" style="0" bestFit="1" customWidth="1"/>
    <col min="4" max="4" width="10.140625" style="0" bestFit="1" customWidth="1"/>
    <col min="5" max="5" width="12.7109375" style="0" customWidth="1"/>
    <col min="6" max="6" width="9.28125" style="0" bestFit="1" customWidth="1"/>
    <col min="7" max="7" width="18.28125" style="0" bestFit="1" customWidth="1"/>
    <col min="8" max="8" width="5.57421875" style="0" bestFit="1" customWidth="1"/>
    <col min="9" max="9" width="7.421875" style="0" bestFit="1" customWidth="1"/>
    <col min="10" max="10" width="6.7109375" style="0" bestFit="1" customWidth="1"/>
    <col min="11" max="11" width="13.28125" style="0" bestFit="1" customWidth="1"/>
  </cols>
  <sheetData>
    <row r="1" ht="13.5" thickBot="1">
      <c r="A1" s="25" t="s">
        <v>93</v>
      </c>
    </row>
    <row r="2" spans="1:7" ht="12.75">
      <c r="A2" s="104" t="s">
        <v>97</v>
      </c>
      <c r="B2" s="105"/>
      <c r="C2" s="105"/>
      <c r="D2" s="105"/>
      <c r="E2" s="106"/>
      <c r="G2" s="46"/>
    </row>
    <row r="3" spans="1:7" ht="15.75">
      <c r="A3" s="47" t="s">
        <v>34</v>
      </c>
      <c r="B3" s="23" t="s">
        <v>12</v>
      </c>
      <c r="C3" s="23" t="s">
        <v>15</v>
      </c>
      <c r="D3" s="23" t="s">
        <v>16</v>
      </c>
      <c r="E3" s="57" t="s">
        <v>92</v>
      </c>
      <c r="G3" s="26"/>
    </row>
    <row r="4" spans="1:5" ht="12.75">
      <c r="A4" s="55" t="s">
        <v>40</v>
      </c>
      <c r="B4" s="38">
        <v>0</v>
      </c>
      <c r="C4" s="38">
        <v>46</v>
      </c>
      <c r="D4" s="38">
        <v>0</v>
      </c>
      <c r="E4" s="79">
        <v>0</v>
      </c>
    </row>
    <row r="5" spans="1:5" ht="12.75">
      <c r="A5" s="55" t="s">
        <v>41</v>
      </c>
      <c r="B5" s="38">
        <v>34</v>
      </c>
      <c r="C5" s="38">
        <v>0</v>
      </c>
      <c r="D5" s="38">
        <v>0</v>
      </c>
      <c r="E5" s="79">
        <v>0</v>
      </c>
    </row>
    <row r="6" spans="1:5" ht="12.75">
      <c r="A6" s="55" t="s">
        <v>35</v>
      </c>
      <c r="B6" s="38">
        <v>0</v>
      </c>
      <c r="C6" s="38">
        <v>0</v>
      </c>
      <c r="D6" s="38">
        <v>60</v>
      </c>
      <c r="E6" s="79">
        <v>0</v>
      </c>
    </row>
    <row r="7" spans="1:5" ht="12.75">
      <c r="A7" s="55"/>
      <c r="B7" s="38"/>
      <c r="C7" s="38"/>
      <c r="D7" s="38"/>
      <c r="E7" s="34"/>
    </row>
    <row r="8" spans="1:5" ht="13.5" thickBot="1">
      <c r="A8" s="56" t="s">
        <v>42</v>
      </c>
      <c r="B8" s="80">
        <f>$E$5/(10*(B5+C5+D5))</f>
        <v>0</v>
      </c>
      <c r="C8" s="80">
        <f>$E$4/(10*(C4+D4+B4))</f>
        <v>0</v>
      </c>
      <c r="D8" s="80">
        <f>$E$6/(10*(B6+C6+D6))</f>
        <v>0</v>
      </c>
      <c r="E8" s="36"/>
    </row>
    <row r="9" spans="1:5" ht="12.75">
      <c r="A9" s="55" t="s">
        <v>98</v>
      </c>
      <c r="B9" s="3"/>
      <c r="C9" s="3"/>
      <c r="D9" s="3"/>
      <c r="E9" s="5"/>
    </row>
    <row r="10" spans="1:5" ht="13.5" thickBot="1">
      <c r="A10" s="4"/>
      <c r="B10" s="4"/>
      <c r="C10" s="4"/>
      <c r="D10" s="4"/>
      <c r="E10" s="4"/>
    </row>
    <row r="11" spans="1:5" ht="12.75">
      <c r="A11" s="107" t="s">
        <v>99</v>
      </c>
      <c r="B11" s="108"/>
      <c r="C11" s="108"/>
      <c r="D11" s="108"/>
      <c r="E11" s="109"/>
    </row>
    <row r="12" spans="1:5" ht="15.75">
      <c r="A12" s="55" t="s">
        <v>34</v>
      </c>
      <c r="B12" s="58" t="s">
        <v>12</v>
      </c>
      <c r="C12" s="58" t="s">
        <v>15</v>
      </c>
      <c r="D12" s="58" t="s">
        <v>16</v>
      </c>
      <c r="E12" s="59" t="s">
        <v>92</v>
      </c>
    </row>
    <row r="13" spans="1:5" ht="12.75">
      <c r="A13" s="78" t="s">
        <v>20</v>
      </c>
      <c r="B13" s="54">
        <v>0</v>
      </c>
      <c r="C13" s="54">
        <v>0</v>
      </c>
      <c r="D13" s="54">
        <v>0</v>
      </c>
      <c r="E13" s="79">
        <v>0</v>
      </c>
    </row>
    <row r="14" spans="1:5" ht="12.75">
      <c r="A14" s="51"/>
      <c r="B14" s="38"/>
      <c r="C14" s="38"/>
      <c r="D14" s="38"/>
      <c r="E14" s="34"/>
    </row>
    <row r="15" spans="1:5" ht="13.5" thickBot="1">
      <c r="A15" s="56" t="s">
        <v>42</v>
      </c>
      <c r="B15" s="52" t="e">
        <f>E13/(10*(B13+C13+D13))</f>
        <v>#DIV/0!</v>
      </c>
      <c r="C15" s="52" t="e">
        <f>E13/(10*(B13+C13+D13))</f>
        <v>#DIV/0!</v>
      </c>
      <c r="D15" s="52" t="e">
        <f>E13/(10*(B13+C13+D13))</f>
        <v>#DIV/0!</v>
      </c>
      <c r="E15" s="36"/>
    </row>
    <row r="16" spans="1:5" ht="12.75">
      <c r="A16" s="67" t="s">
        <v>100</v>
      </c>
      <c r="B16" s="39"/>
      <c r="C16" s="39"/>
      <c r="D16" s="39"/>
      <c r="E16" s="5"/>
    </row>
    <row r="17" spans="1:5" ht="12.75">
      <c r="A17" s="4"/>
      <c r="B17" s="4"/>
      <c r="C17" s="41"/>
      <c r="D17" s="4"/>
      <c r="E17" s="4"/>
    </row>
    <row r="18" spans="1:5" ht="12.75">
      <c r="A18" s="103" t="s">
        <v>101</v>
      </c>
      <c r="B18" s="103"/>
      <c r="C18" s="60" t="s">
        <v>43</v>
      </c>
      <c r="D18" s="60" t="s">
        <v>44</v>
      </c>
      <c r="E18" s="60" t="s">
        <v>46</v>
      </c>
    </row>
    <row r="19" spans="1:6" ht="13.5" thickBot="1">
      <c r="A19" s="61"/>
      <c r="B19" s="61"/>
      <c r="C19" s="61" t="s">
        <v>45</v>
      </c>
      <c r="D19" s="61" t="s">
        <v>21</v>
      </c>
      <c r="E19" s="110" t="s">
        <v>89</v>
      </c>
      <c r="F19" s="110"/>
    </row>
    <row r="20" spans="1:5" ht="12.75">
      <c r="A20" s="46" t="s">
        <v>47</v>
      </c>
      <c r="B20" s="44">
        <v>0</v>
      </c>
      <c r="C20" s="66"/>
      <c r="D20" s="4"/>
      <c r="E20" s="4"/>
    </row>
    <row r="21" spans="1:6" ht="15.75">
      <c r="A21" s="46" t="s">
        <v>17</v>
      </c>
      <c r="B21" s="44">
        <v>0</v>
      </c>
      <c r="C21" s="44">
        <v>0</v>
      </c>
      <c r="D21" s="4">
        <f>$B21/1000*$C21</f>
        <v>0</v>
      </c>
      <c r="E21" s="41" t="e">
        <f>IF(B$8=0,(B$15*$D21),(B$8*$D21))</f>
        <v>#DIV/0!</v>
      </c>
      <c r="F21" s="26" t="s">
        <v>1</v>
      </c>
    </row>
    <row r="22" spans="1:6" ht="12.75">
      <c r="A22" s="46" t="s">
        <v>48</v>
      </c>
      <c r="B22" s="66"/>
      <c r="C22" s="44">
        <v>0</v>
      </c>
      <c r="D22" s="4">
        <f>((B20*10)-($B21/1000))*$C22</f>
        <v>0</v>
      </c>
      <c r="E22" s="41" t="e">
        <f>IF(B$8=0,(B$15*$D22),(B$8*$D22))</f>
        <v>#DIV/0!</v>
      </c>
      <c r="F22" s="26" t="s">
        <v>1</v>
      </c>
    </row>
    <row r="23" spans="1:6" ht="15.75">
      <c r="A23" s="46" t="s">
        <v>5</v>
      </c>
      <c r="B23" s="44">
        <v>0</v>
      </c>
      <c r="C23" s="4">
        <v>0.4</v>
      </c>
      <c r="D23" s="4">
        <f>$B23*10*2.29*$C23</f>
        <v>0</v>
      </c>
      <c r="E23" s="41" t="e">
        <f>IF(C$8=0,(C$15*$D23),(C$8*$D23))</f>
        <v>#DIV/0!</v>
      </c>
      <c r="F23" s="26" t="s">
        <v>150</v>
      </c>
    </row>
    <row r="24" spans="1:6" ht="15.75">
      <c r="A24" s="46" t="s">
        <v>6</v>
      </c>
      <c r="B24" s="44">
        <v>0</v>
      </c>
      <c r="C24" s="4">
        <v>0.9</v>
      </c>
      <c r="D24" s="4">
        <f>$B24*10*1.2*$C24</f>
        <v>0</v>
      </c>
      <c r="E24" s="41" t="e">
        <f>IF(D$8=0,(D$15*$D24),(D$8*$D24))</f>
        <v>#DIV/0!</v>
      </c>
      <c r="F24" s="26" t="s">
        <v>151</v>
      </c>
    </row>
    <row r="25" spans="1:5" ht="13.5" thickBot="1">
      <c r="A25" s="46" t="s">
        <v>106</v>
      </c>
      <c r="B25" s="4"/>
      <c r="C25" s="4"/>
      <c r="D25" s="4"/>
      <c r="E25" s="43" t="e">
        <f>SUM(E21:E24)</f>
        <v>#DIV/0!</v>
      </c>
    </row>
    <row r="26" spans="1:5" ht="13.5" thickTop="1">
      <c r="A26" s="46"/>
      <c r="B26" s="4"/>
      <c r="C26" s="4"/>
      <c r="D26" s="4"/>
      <c r="E26" s="4"/>
    </row>
    <row r="27" spans="1:5" ht="13.5" thickBot="1">
      <c r="A27" s="46" t="s">
        <v>49</v>
      </c>
      <c r="C27" s="53" t="e">
        <f>'Valeur du fumier'!E$25*'Coût d''épandage ($ par h)'!F$6*'Coût d''épandage ($ par h)'!C$8/(2*(IF('Coût d''épandage ($ par h)'!C$27=0,'Coût d''épandage ($ par h)'!C$23,'Coût d''épandage ($ par h)'!C$27)))</f>
        <v>#DIV/0!</v>
      </c>
      <c r="D27" s="4"/>
      <c r="E27" s="4"/>
    </row>
    <row r="28" spans="1:5" ht="13.5" thickTop="1">
      <c r="A28" s="46"/>
      <c r="C28" s="2"/>
      <c r="D28" s="4"/>
      <c r="E28" s="4"/>
    </row>
    <row r="29" spans="1:5" ht="13.5" thickBot="1">
      <c r="A29" s="46" t="s">
        <v>50</v>
      </c>
      <c r="C29" s="53" t="e">
        <f>60*'Valeur du fumier'!E25*'Coût d''épandage ($ par h)'!C8/(2*(IF('Coût d''épandage ($ par h)'!C$27=0,'Coût d''épandage ($ par h)'!C$23,'Coût d''épandage ($ par h)'!C$27)))</f>
        <v>#DIV/0!</v>
      </c>
      <c r="D29" s="4"/>
      <c r="E29" s="4"/>
    </row>
    <row r="30" spans="1:5" ht="13.5" thickTop="1">
      <c r="A30" s="4"/>
      <c r="B30" s="4"/>
      <c r="C30" s="4"/>
      <c r="D30" s="4"/>
      <c r="E30" s="4"/>
    </row>
  </sheetData>
  <sheetProtection/>
  <mergeCells count="4">
    <mergeCell ref="A18:B18"/>
    <mergeCell ref="A2:E2"/>
    <mergeCell ref="A11:E11"/>
    <mergeCell ref="E19:F19"/>
  </mergeCells>
  <printOptions/>
  <pageMargins left="0.75" right="0.75" top="1" bottom="1" header="0.5" footer="0.5"/>
  <pageSetup horizontalDpi="300" verticalDpi="3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tabColor indexed="62"/>
  </sheetPr>
  <dimension ref="A2:M25"/>
  <sheetViews>
    <sheetView zoomScalePageLayoutView="0" workbookViewId="0" topLeftCell="A1">
      <selection activeCell="A24" sqref="A24"/>
    </sheetView>
  </sheetViews>
  <sheetFormatPr defaultColWidth="9.140625" defaultRowHeight="12.75"/>
  <cols>
    <col min="1" max="2" width="10.57421875" style="0" customWidth="1"/>
    <col min="3" max="3" width="10.7109375" style="0" bestFit="1" customWidth="1"/>
    <col min="4" max="4" width="10.00390625" style="0" bestFit="1" customWidth="1"/>
    <col min="5" max="5" width="6.8515625" style="0" customWidth="1"/>
    <col min="6" max="6" width="6.7109375" style="0" customWidth="1"/>
    <col min="7" max="7" width="6.421875" style="0" customWidth="1"/>
    <col min="9" max="10" width="4.57421875" style="0" bestFit="1" customWidth="1"/>
    <col min="11" max="12" width="10.140625" style="0" bestFit="1" customWidth="1"/>
  </cols>
  <sheetData>
    <row r="2" ht="12.75">
      <c r="A2" s="25" t="s">
        <v>22</v>
      </c>
    </row>
    <row r="3" spans="1:13" ht="15.75" customHeight="1">
      <c r="A3" s="13" t="s">
        <v>7</v>
      </c>
      <c r="B3" s="13" t="s">
        <v>8</v>
      </c>
      <c r="C3" s="13" t="s">
        <v>125</v>
      </c>
      <c r="D3" s="13" t="s">
        <v>126</v>
      </c>
      <c r="E3" s="13" t="s">
        <v>11</v>
      </c>
      <c r="F3" s="13" t="s">
        <v>2</v>
      </c>
      <c r="G3" s="13" t="s">
        <v>3</v>
      </c>
      <c r="H3" s="91" t="s">
        <v>127</v>
      </c>
      <c r="I3" s="91" t="s">
        <v>128</v>
      </c>
      <c r="J3" s="91" t="s">
        <v>129</v>
      </c>
      <c r="K3" s="91" t="s">
        <v>130</v>
      </c>
      <c r="L3" s="91" t="s">
        <v>131</v>
      </c>
      <c r="M3" s="91" t="s">
        <v>132</v>
      </c>
    </row>
    <row r="4" spans="1:13" ht="12.75">
      <c r="A4" s="14"/>
      <c r="B4" s="14"/>
      <c r="C4" s="14" t="s">
        <v>9</v>
      </c>
      <c r="D4" s="14" t="s">
        <v>9</v>
      </c>
      <c r="E4" s="14" t="s">
        <v>10</v>
      </c>
      <c r="F4" s="14" t="s">
        <v>9</v>
      </c>
      <c r="G4" s="14" t="s">
        <v>9</v>
      </c>
      <c r="H4" s="14" t="s">
        <v>9</v>
      </c>
      <c r="I4" s="14" t="s">
        <v>9</v>
      </c>
      <c r="J4" s="14" t="s">
        <v>9</v>
      </c>
      <c r="K4" s="14" t="s">
        <v>10</v>
      </c>
      <c r="L4" s="14" t="s">
        <v>10</v>
      </c>
      <c r="M4" s="14" t="s">
        <v>10</v>
      </c>
    </row>
    <row r="5" spans="1:13" ht="17.25">
      <c r="A5" s="9" t="s">
        <v>136</v>
      </c>
      <c r="B5" s="12" t="s">
        <v>23</v>
      </c>
      <c r="C5" s="10">
        <v>0.4</v>
      </c>
      <c r="D5" s="92">
        <f>C5-(E5/10000)</f>
        <v>0.135</v>
      </c>
      <c r="E5" s="93">
        <v>2650</v>
      </c>
      <c r="F5" s="10">
        <v>0.13</v>
      </c>
      <c r="G5" s="10">
        <v>0.17</v>
      </c>
      <c r="H5" s="10">
        <v>0.12</v>
      </c>
      <c r="I5" s="10">
        <v>0.06</v>
      </c>
      <c r="J5" s="10">
        <v>0.06</v>
      </c>
      <c r="K5" s="9">
        <v>85</v>
      </c>
      <c r="L5" s="9">
        <v>30</v>
      </c>
      <c r="M5" s="9">
        <v>22</v>
      </c>
    </row>
    <row r="6" spans="1:13" ht="17.25">
      <c r="A6" s="9" t="s">
        <v>137</v>
      </c>
      <c r="B6" s="12" t="s">
        <v>24</v>
      </c>
      <c r="C6" s="10">
        <v>0.9</v>
      </c>
      <c r="D6" s="94">
        <f>C6-E6/10000</f>
        <v>0.642</v>
      </c>
      <c r="E6" s="93">
        <v>2580</v>
      </c>
      <c r="F6" s="10">
        <v>0.47</v>
      </c>
      <c r="G6" s="10">
        <v>0.56</v>
      </c>
      <c r="H6" s="10" t="s">
        <v>133</v>
      </c>
      <c r="I6" s="10" t="s">
        <v>133</v>
      </c>
      <c r="J6" s="10">
        <v>0.14</v>
      </c>
      <c r="K6" s="9">
        <v>172</v>
      </c>
      <c r="L6" s="9">
        <v>103</v>
      </c>
      <c r="M6" s="9" t="s">
        <v>133</v>
      </c>
    </row>
    <row r="7" spans="1:13" ht="12.75">
      <c r="A7" s="9"/>
      <c r="B7" s="12"/>
      <c r="C7" s="10"/>
      <c r="D7" s="94"/>
      <c r="E7" s="93"/>
      <c r="F7" s="10"/>
      <c r="G7" s="10"/>
      <c r="H7" s="10"/>
      <c r="I7" s="10"/>
      <c r="J7" s="10"/>
      <c r="K7" s="9"/>
      <c r="L7" s="9"/>
      <c r="M7" s="9"/>
    </row>
    <row r="8" spans="1:13" ht="17.25">
      <c r="A8" s="9" t="s">
        <v>138</v>
      </c>
      <c r="B8" s="12" t="s">
        <v>23</v>
      </c>
      <c r="C8" s="10">
        <v>0.36</v>
      </c>
      <c r="D8" s="94">
        <f>C8-E8/10000</f>
        <v>0.207</v>
      </c>
      <c r="E8" s="93">
        <v>1530</v>
      </c>
      <c r="F8" s="10">
        <v>0.09</v>
      </c>
      <c r="G8" s="10">
        <v>0.24</v>
      </c>
      <c r="H8" s="10">
        <v>0.49</v>
      </c>
      <c r="I8" s="10">
        <v>0.14</v>
      </c>
      <c r="J8" s="10">
        <v>0.04</v>
      </c>
      <c r="K8" s="9">
        <v>48</v>
      </c>
      <c r="L8" s="9">
        <v>17</v>
      </c>
      <c r="M8" s="9">
        <v>40</v>
      </c>
    </row>
    <row r="9" spans="1:13" ht="17.25">
      <c r="A9" s="9" t="s">
        <v>138</v>
      </c>
      <c r="B9" s="12" t="s">
        <v>24</v>
      </c>
      <c r="C9" s="10">
        <v>0.61</v>
      </c>
      <c r="D9" s="94">
        <f>C9-E9/10000</f>
        <v>0.482</v>
      </c>
      <c r="E9" s="93">
        <v>1280</v>
      </c>
      <c r="F9" s="10">
        <v>0.17</v>
      </c>
      <c r="G9" s="10">
        <v>0.5</v>
      </c>
      <c r="H9" s="10">
        <v>1.54</v>
      </c>
      <c r="I9" s="10">
        <v>0.36</v>
      </c>
      <c r="J9" s="10">
        <v>0.08</v>
      </c>
      <c r="K9" s="9">
        <v>95</v>
      </c>
      <c r="L9" s="9">
        <v>29</v>
      </c>
      <c r="M9" s="9">
        <v>107</v>
      </c>
    </row>
    <row r="10" spans="1:13" ht="12.75">
      <c r="A10" s="9"/>
      <c r="B10" s="12"/>
      <c r="C10" s="10"/>
      <c r="D10" s="94"/>
      <c r="E10" s="93"/>
      <c r="F10" s="10"/>
      <c r="G10" s="10"/>
      <c r="H10" s="10"/>
      <c r="I10" s="10"/>
      <c r="J10" s="10"/>
      <c r="K10" s="9"/>
      <c r="L10" s="9"/>
      <c r="M10" s="9"/>
    </row>
    <row r="11" spans="1:13" ht="17.25">
      <c r="A11" s="9" t="s">
        <v>139</v>
      </c>
      <c r="B11" s="12" t="s">
        <v>23</v>
      </c>
      <c r="C11" s="10">
        <v>0.52</v>
      </c>
      <c r="D11" s="94">
        <f>C11-E11/10000</f>
        <v>0.341</v>
      </c>
      <c r="E11" s="93">
        <v>1790</v>
      </c>
      <c r="F11" s="10">
        <v>0.13</v>
      </c>
      <c r="G11" s="10">
        <v>0.43</v>
      </c>
      <c r="H11" s="10">
        <v>0.7</v>
      </c>
      <c r="I11" s="10">
        <v>0.3</v>
      </c>
      <c r="J11" s="10">
        <v>0.04</v>
      </c>
      <c r="K11" s="9">
        <v>57</v>
      </c>
      <c r="L11" s="9">
        <v>14</v>
      </c>
      <c r="M11" s="9">
        <v>61</v>
      </c>
    </row>
    <row r="12" spans="1:13" ht="17.25">
      <c r="A12" s="9" t="s">
        <v>139</v>
      </c>
      <c r="B12" s="12" t="s">
        <v>24</v>
      </c>
      <c r="C12" s="10">
        <v>0.73</v>
      </c>
      <c r="D12" s="94">
        <f>C12-E12/10000</f>
        <v>0.629</v>
      </c>
      <c r="E12" s="93">
        <v>1010</v>
      </c>
      <c r="F12" s="10">
        <v>0.23</v>
      </c>
      <c r="G12" s="10">
        <v>0.57</v>
      </c>
      <c r="H12" s="10">
        <v>1.5</v>
      </c>
      <c r="I12" s="10">
        <v>0.41</v>
      </c>
      <c r="J12" s="10">
        <v>0.09</v>
      </c>
      <c r="K12" s="9">
        <v>129</v>
      </c>
      <c r="L12" s="9">
        <v>36</v>
      </c>
      <c r="M12" s="9">
        <v>112</v>
      </c>
    </row>
    <row r="13" spans="1:13" ht="12.75">
      <c r="A13" s="9"/>
      <c r="B13" s="12"/>
      <c r="C13" s="10"/>
      <c r="D13" s="94"/>
      <c r="E13" s="93"/>
      <c r="F13" s="10"/>
      <c r="G13" s="10"/>
      <c r="H13" s="10"/>
      <c r="I13" s="10"/>
      <c r="J13" s="10"/>
      <c r="K13" s="9"/>
      <c r="L13" s="9"/>
      <c r="M13" s="9"/>
    </row>
    <row r="14" spans="1:13" ht="17.25">
      <c r="A14" s="9" t="s">
        <v>140</v>
      </c>
      <c r="B14" s="12" t="s">
        <v>23</v>
      </c>
      <c r="C14" s="10">
        <v>0.83</v>
      </c>
      <c r="D14" s="94">
        <f>C14-E14/10000</f>
        <v>0.2719999999999999</v>
      </c>
      <c r="E14" s="93">
        <v>5580</v>
      </c>
      <c r="F14" s="10">
        <v>0.3</v>
      </c>
      <c r="G14" s="10">
        <v>0.3</v>
      </c>
      <c r="H14" s="10">
        <v>1.6</v>
      </c>
      <c r="I14" s="10">
        <v>0.08</v>
      </c>
      <c r="J14" s="10">
        <v>0.08</v>
      </c>
      <c r="K14" s="9">
        <v>70</v>
      </c>
      <c r="L14" s="9">
        <v>11</v>
      </c>
      <c r="M14" s="9">
        <v>64</v>
      </c>
    </row>
    <row r="15" spans="1:13" ht="17.25">
      <c r="A15" s="9" t="s">
        <v>140</v>
      </c>
      <c r="B15" s="12" t="s">
        <v>24</v>
      </c>
      <c r="C15" s="94">
        <v>2.37</v>
      </c>
      <c r="D15" s="94">
        <f>C15-E15/10000</f>
        <v>1.82</v>
      </c>
      <c r="E15" s="95">
        <v>5500</v>
      </c>
      <c r="F15" s="94">
        <v>1.11</v>
      </c>
      <c r="G15" s="94">
        <v>1.17</v>
      </c>
      <c r="H15" s="96">
        <v>4.6</v>
      </c>
      <c r="I15" s="96">
        <v>0.28</v>
      </c>
      <c r="J15" s="96">
        <v>0.16</v>
      </c>
      <c r="K15" s="38">
        <v>238</v>
      </c>
      <c r="L15" s="38">
        <v>33</v>
      </c>
      <c r="M15" s="38">
        <v>204</v>
      </c>
    </row>
    <row r="16" spans="1:13" ht="12.75">
      <c r="A16" s="37"/>
      <c r="B16" s="23"/>
      <c r="C16" s="94"/>
      <c r="D16" s="94"/>
      <c r="E16" s="95"/>
      <c r="F16" s="94"/>
      <c r="G16" s="94"/>
      <c r="H16" s="94"/>
      <c r="I16" s="10"/>
      <c r="J16" s="10"/>
      <c r="K16" s="9"/>
      <c r="L16" s="9"/>
      <c r="M16" s="9"/>
    </row>
    <row r="17" spans="1:13" ht="17.25">
      <c r="A17" s="37" t="s">
        <v>141</v>
      </c>
      <c r="B17" s="12" t="s">
        <v>24</v>
      </c>
      <c r="C17" s="94">
        <v>0.42</v>
      </c>
      <c r="D17" s="94">
        <f>C17-E17/10000</f>
        <v>0.352</v>
      </c>
      <c r="E17" s="95">
        <v>680</v>
      </c>
      <c r="F17" s="94">
        <v>0.13</v>
      </c>
      <c r="G17" s="94">
        <v>0.36</v>
      </c>
      <c r="H17" s="96">
        <v>1.7</v>
      </c>
      <c r="I17" s="96">
        <v>0.56</v>
      </c>
      <c r="J17" s="10" t="s">
        <v>133</v>
      </c>
      <c r="K17" s="38">
        <v>73</v>
      </c>
      <c r="L17" s="38">
        <v>23</v>
      </c>
      <c r="M17" s="38">
        <v>113</v>
      </c>
    </row>
    <row r="18" spans="1:13" ht="12.75">
      <c r="A18" s="37"/>
      <c r="B18" s="23"/>
      <c r="C18" s="94"/>
      <c r="D18" s="94"/>
      <c r="E18" s="95"/>
      <c r="F18" s="94"/>
      <c r="G18" s="94"/>
      <c r="H18" s="96"/>
      <c r="I18" s="96"/>
      <c r="J18" s="10"/>
      <c r="K18" s="38"/>
      <c r="L18" s="38"/>
      <c r="M18" s="38"/>
    </row>
    <row r="19" spans="1:13" ht="17.25">
      <c r="A19" s="37" t="s">
        <v>142</v>
      </c>
      <c r="B19" s="12" t="s">
        <v>24</v>
      </c>
      <c r="C19" s="94">
        <v>0.76</v>
      </c>
      <c r="D19" s="94">
        <f>C19-E19/10000</f>
        <v>0.5740000000000001</v>
      </c>
      <c r="E19" s="95">
        <v>1860</v>
      </c>
      <c r="F19" s="94">
        <v>0.27</v>
      </c>
      <c r="G19" s="94">
        <v>0.7</v>
      </c>
      <c r="H19" s="96">
        <v>1.5</v>
      </c>
      <c r="I19" s="96">
        <v>0.38</v>
      </c>
      <c r="J19" s="10" t="s">
        <v>133</v>
      </c>
      <c r="K19" s="38">
        <v>170</v>
      </c>
      <c r="L19" s="38">
        <v>20</v>
      </c>
      <c r="M19" s="38">
        <v>140</v>
      </c>
    </row>
    <row r="20" spans="1:13" ht="17.25">
      <c r="A20" s="37" t="s">
        <v>143</v>
      </c>
      <c r="B20" s="12" t="s">
        <v>24</v>
      </c>
      <c r="C20" s="94">
        <v>1.1</v>
      </c>
      <c r="D20" s="94">
        <f>C20-E20/10000</f>
        <v>0.8050000000000002</v>
      </c>
      <c r="E20" s="95">
        <v>2950</v>
      </c>
      <c r="F20" s="94">
        <v>0.28</v>
      </c>
      <c r="G20" s="94">
        <v>1.06</v>
      </c>
      <c r="H20" s="96" t="s">
        <v>133</v>
      </c>
      <c r="I20" s="96" t="s">
        <v>133</v>
      </c>
      <c r="J20" s="10" t="s">
        <v>133</v>
      </c>
      <c r="K20" s="38" t="s">
        <v>133</v>
      </c>
      <c r="L20" s="38" t="s">
        <v>133</v>
      </c>
      <c r="M20" s="38" t="s">
        <v>133</v>
      </c>
    </row>
    <row r="21" spans="1:13" ht="12.75">
      <c r="A21" s="37"/>
      <c r="B21" s="12"/>
      <c r="C21" s="94"/>
      <c r="D21" s="94"/>
      <c r="E21" s="95"/>
      <c r="F21" s="94"/>
      <c r="G21" s="94"/>
      <c r="H21" s="96"/>
      <c r="I21" s="96"/>
      <c r="J21" s="10"/>
      <c r="K21" s="38"/>
      <c r="L21" s="38"/>
      <c r="M21" s="38"/>
    </row>
    <row r="22" spans="1:13" ht="17.25">
      <c r="A22" s="37" t="s">
        <v>144</v>
      </c>
      <c r="B22" s="12" t="s">
        <v>24</v>
      </c>
      <c r="C22" s="94">
        <v>2.97</v>
      </c>
      <c r="D22" s="94">
        <v>1.72</v>
      </c>
      <c r="E22" s="95">
        <v>12465</v>
      </c>
      <c r="F22" s="94">
        <v>1.68</v>
      </c>
      <c r="G22" s="94">
        <v>0.7</v>
      </c>
      <c r="H22" s="96" t="s">
        <v>133</v>
      </c>
      <c r="I22" s="96" t="s">
        <v>133</v>
      </c>
      <c r="J22" s="10" t="s">
        <v>133</v>
      </c>
      <c r="K22" s="38" t="s">
        <v>133</v>
      </c>
      <c r="L22" s="38" t="s">
        <v>133</v>
      </c>
      <c r="M22" s="38" t="s">
        <v>133</v>
      </c>
    </row>
    <row r="23" spans="1:13" ht="17.25">
      <c r="A23" s="15" t="s">
        <v>145</v>
      </c>
      <c r="B23" s="14" t="s">
        <v>24</v>
      </c>
      <c r="C23" s="18">
        <v>1.8</v>
      </c>
      <c r="D23" s="15">
        <v>1.31</v>
      </c>
      <c r="E23" s="97">
        <v>4856</v>
      </c>
      <c r="F23" s="18">
        <v>1.51</v>
      </c>
      <c r="G23" s="18">
        <v>0.38</v>
      </c>
      <c r="H23" s="18" t="s">
        <v>133</v>
      </c>
      <c r="I23" s="18" t="s">
        <v>133</v>
      </c>
      <c r="J23" s="18" t="s">
        <v>133</v>
      </c>
      <c r="K23" s="15" t="s">
        <v>133</v>
      </c>
      <c r="L23" s="15" t="s">
        <v>133</v>
      </c>
      <c r="M23" s="15" t="s">
        <v>133</v>
      </c>
    </row>
    <row r="24" ht="17.25">
      <c r="A24" t="s">
        <v>134</v>
      </c>
    </row>
    <row r="25" ht="17.25">
      <c r="A25" s="98" t="s">
        <v>135</v>
      </c>
    </row>
  </sheetData>
  <sheetProtection sheet="1" objects="1" scenarios="1"/>
  <printOptions/>
  <pageMargins left="0.75" right="0.75" top="1" bottom="1" header="0.5" footer="0.5"/>
  <pageSetup horizontalDpi="300" verticalDpi="300" orientation="landscape" r:id="rId2"/>
  <drawing r:id="rId1"/>
</worksheet>
</file>

<file path=xl/worksheets/sheet6.xml><?xml version="1.0" encoding="utf-8"?>
<worksheet xmlns="http://schemas.openxmlformats.org/spreadsheetml/2006/main" xmlns:r="http://schemas.openxmlformats.org/officeDocument/2006/relationships">
  <sheetPr>
    <tabColor indexed="62"/>
  </sheetPr>
  <dimension ref="A2:E29"/>
  <sheetViews>
    <sheetView zoomScalePageLayoutView="0" workbookViewId="0" topLeftCell="A1">
      <selection activeCell="A27" sqref="A27"/>
    </sheetView>
  </sheetViews>
  <sheetFormatPr defaultColWidth="9.140625" defaultRowHeight="12.75"/>
  <cols>
    <col min="1" max="1" width="40.00390625" style="0" customWidth="1"/>
    <col min="2" max="2" width="18.00390625" style="0" bestFit="1" customWidth="1"/>
    <col min="3" max="3" width="19.140625" style="0" bestFit="1" customWidth="1"/>
    <col min="4" max="4" width="18.421875" style="0" bestFit="1" customWidth="1"/>
    <col min="5" max="5" width="19.140625" style="0" bestFit="1" customWidth="1"/>
  </cols>
  <sheetData>
    <row r="2" spans="1:2" ht="14.25">
      <c r="A2" s="112" t="s">
        <v>102</v>
      </c>
      <c r="B2" s="112"/>
    </row>
    <row r="3" spans="1:5" ht="12.75">
      <c r="A3" s="16"/>
      <c r="B3" s="114" t="s">
        <v>23</v>
      </c>
      <c r="C3" s="114"/>
      <c r="D3" s="114" t="s">
        <v>24</v>
      </c>
      <c r="E3" s="114"/>
    </row>
    <row r="4" spans="1:5" ht="12.75">
      <c r="A4" s="17"/>
      <c r="B4" s="17" t="s">
        <v>148</v>
      </c>
      <c r="C4" s="17" t="s">
        <v>149</v>
      </c>
      <c r="D4" s="17" t="s">
        <v>148</v>
      </c>
      <c r="E4" s="17" t="s">
        <v>149</v>
      </c>
    </row>
    <row r="5" spans="1:5" ht="12.75">
      <c r="A5" s="111" t="s">
        <v>74</v>
      </c>
      <c r="B5" s="111"/>
      <c r="C5" s="19"/>
      <c r="D5" s="19"/>
      <c r="E5" s="19"/>
    </row>
    <row r="6" spans="1:5" ht="12.75">
      <c r="A6" s="63" t="s">
        <v>75</v>
      </c>
      <c r="B6" s="10">
        <v>1</v>
      </c>
      <c r="C6" s="10">
        <v>0.8</v>
      </c>
      <c r="D6" s="10">
        <v>1</v>
      </c>
      <c r="E6" s="10">
        <v>0.9</v>
      </c>
    </row>
    <row r="7" spans="1:5" ht="12.75">
      <c r="A7" s="63" t="s">
        <v>77</v>
      </c>
      <c r="B7" s="10">
        <v>0.75</v>
      </c>
      <c r="C7" s="10">
        <v>0.6</v>
      </c>
      <c r="D7" s="10">
        <v>0.85</v>
      </c>
      <c r="E7" s="10">
        <v>0.77</v>
      </c>
    </row>
    <row r="8" spans="1:5" ht="12.75">
      <c r="A8" s="63" t="s">
        <v>76</v>
      </c>
      <c r="B8" s="10">
        <v>0.7</v>
      </c>
      <c r="C8" s="10">
        <v>0.56</v>
      </c>
      <c r="D8" s="10">
        <v>0.75</v>
      </c>
      <c r="E8" s="10">
        <v>0.68</v>
      </c>
    </row>
    <row r="9" spans="1:5" ht="12.75">
      <c r="A9" s="63" t="s">
        <v>78</v>
      </c>
      <c r="B9" s="10">
        <v>0.65</v>
      </c>
      <c r="C9" s="10">
        <v>0.52</v>
      </c>
      <c r="D9" s="10">
        <v>0.65</v>
      </c>
      <c r="E9" s="10">
        <v>0.59</v>
      </c>
    </row>
    <row r="10" spans="1:5" ht="12.75">
      <c r="A10" s="63" t="s">
        <v>79</v>
      </c>
      <c r="B10" s="10">
        <v>0.6</v>
      </c>
      <c r="C10" s="10">
        <v>0.48</v>
      </c>
      <c r="D10" s="10">
        <v>0.6</v>
      </c>
      <c r="E10" s="10">
        <v>0.54</v>
      </c>
    </row>
    <row r="11" spans="1:5" ht="12.75">
      <c r="A11" s="63" t="s">
        <v>80</v>
      </c>
      <c r="B11" s="10">
        <v>0.55</v>
      </c>
      <c r="C11" s="10">
        <v>0.44</v>
      </c>
      <c r="D11" s="10">
        <v>0.55</v>
      </c>
      <c r="E11" s="10">
        <v>0.5</v>
      </c>
    </row>
    <row r="12" spans="1:5" ht="12.75">
      <c r="A12" s="20" t="s">
        <v>81</v>
      </c>
      <c r="B12" s="19"/>
      <c r="C12" s="19"/>
      <c r="D12" s="19"/>
      <c r="E12" s="19"/>
    </row>
    <row r="13" spans="1:5" ht="12.75">
      <c r="A13" s="63" t="s">
        <v>103</v>
      </c>
      <c r="B13" s="10">
        <v>0.34</v>
      </c>
      <c r="C13" s="10">
        <v>0.27</v>
      </c>
      <c r="D13" s="10">
        <v>0.5</v>
      </c>
      <c r="E13" s="10">
        <v>0.45</v>
      </c>
    </row>
    <row r="14" spans="1:5" ht="12.75">
      <c r="A14" s="63" t="s">
        <v>82</v>
      </c>
      <c r="B14" s="10">
        <v>0.5</v>
      </c>
      <c r="C14" s="10">
        <v>0.4</v>
      </c>
      <c r="D14" s="10">
        <v>0.7</v>
      </c>
      <c r="E14" s="10">
        <v>0.63</v>
      </c>
    </row>
    <row r="15" spans="1:5" ht="12.75">
      <c r="A15" s="63" t="s">
        <v>104</v>
      </c>
      <c r="B15" s="10">
        <v>0.7</v>
      </c>
      <c r="C15" s="10">
        <v>0.56</v>
      </c>
      <c r="D15" s="10">
        <v>0.6</v>
      </c>
      <c r="E15" s="10">
        <v>0.54</v>
      </c>
    </row>
    <row r="16" spans="1:5" ht="12.75">
      <c r="A16" s="63" t="s">
        <v>147</v>
      </c>
      <c r="B16" s="10">
        <v>0.7</v>
      </c>
      <c r="C16" s="10">
        <v>0.56</v>
      </c>
      <c r="D16" s="10">
        <v>0.7</v>
      </c>
      <c r="E16" s="10">
        <v>0.63</v>
      </c>
    </row>
    <row r="17" spans="1:5" ht="12.75">
      <c r="A17" s="62" t="s">
        <v>105</v>
      </c>
      <c r="B17" s="18" t="s">
        <v>146</v>
      </c>
      <c r="C17" s="18">
        <v>0.6</v>
      </c>
      <c r="D17" s="18" t="s">
        <v>146</v>
      </c>
      <c r="E17" s="18">
        <v>0.68</v>
      </c>
    </row>
    <row r="18" ht="12.75">
      <c r="A18" s="99" t="s">
        <v>152</v>
      </c>
    </row>
    <row r="19" ht="12.75">
      <c r="A19" s="90"/>
    </row>
    <row r="20" spans="1:3" ht="12.75">
      <c r="A20" s="112" t="s">
        <v>121</v>
      </c>
      <c r="B20" s="112"/>
      <c r="C20" s="112"/>
    </row>
    <row r="21" spans="1:5" ht="12.75">
      <c r="A21" s="21"/>
      <c r="C21" s="113" t="s">
        <v>124</v>
      </c>
      <c r="D21" s="113"/>
      <c r="E21" s="113"/>
    </row>
    <row r="22" spans="1:5" ht="12.75">
      <c r="A22" s="22"/>
      <c r="B22" s="23" t="s">
        <v>25</v>
      </c>
      <c r="C22" s="23" t="s">
        <v>107</v>
      </c>
      <c r="D22" s="23" t="s">
        <v>90</v>
      </c>
      <c r="E22" s="23" t="s">
        <v>91</v>
      </c>
    </row>
    <row r="23" spans="1:5" ht="12.75">
      <c r="A23" s="24" t="s">
        <v>83</v>
      </c>
      <c r="B23" s="14"/>
      <c r="C23" s="14" t="s">
        <v>23</v>
      </c>
      <c r="D23" s="14" t="s">
        <v>84</v>
      </c>
      <c r="E23" s="14" t="s">
        <v>85</v>
      </c>
    </row>
    <row r="24" spans="1:5" ht="12.75">
      <c r="A24" s="25" t="s">
        <v>149</v>
      </c>
      <c r="B24" s="10">
        <v>0.3</v>
      </c>
      <c r="C24" s="10">
        <v>0.3</v>
      </c>
      <c r="D24" s="10">
        <v>0.1</v>
      </c>
      <c r="E24" s="9" t="s">
        <v>122</v>
      </c>
    </row>
    <row r="25" spans="1:5" ht="12.75">
      <c r="A25" s="24" t="s">
        <v>148</v>
      </c>
      <c r="B25" s="18">
        <v>0.3</v>
      </c>
      <c r="C25" s="18">
        <v>0.2</v>
      </c>
      <c r="D25" s="18">
        <v>0.1</v>
      </c>
      <c r="E25" s="18">
        <v>0.1</v>
      </c>
    </row>
    <row r="26" ht="12.75">
      <c r="A26" s="99" t="s">
        <v>152</v>
      </c>
    </row>
    <row r="28" ht="12.75">
      <c r="A28" s="25" t="s">
        <v>108</v>
      </c>
    </row>
    <row r="29" ht="12.75">
      <c r="A29" s="25" t="s">
        <v>123</v>
      </c>
    </row>
  </sheetData>
  <sheetProtection sheet="1" objects="1" scenarios="1"/>
  <mergeCells count="6">
    <mergeCell ref="A5:B5"/>
    <mergeCell ref="A2:B2"/>
    <mergeCell ref="C21:E21"/>
    <mergeCell ref="A20:C20"/>
    <mergeCell ref="B3:C3"/>
    <mergeCell ref="D3:E3"/>
  </mergeCells>
  <printOptions/>
  <pageMargins left="0.75" right="0.75" top="1" bottom="1" header="0.5" footer="0.5"/>
  <pageSetup horizontalDpi="300" verticalDpi="300" orientation="landscape" r:id="rId2"/>
  <drawing r:id="rId1"/>
</worksheet>
</file>

<file path=xl/worksheets/sheet7.xml><?xml version="1.0" encoding="utf-8"?>
<worksheet xmlns="http://schemas.openxmlformats.org/spreadsheetml/2006/main" xmlns:r="http://schemas.openxmlformats.org/officeDocument/2006/relationships">
  <dimension ref="A2:U43"/>
  <sheetViews>
    <sheetView zoomScalePageLayoutView="0" workbookViewId="0" topLeftCell="A1">
      <selection activeCell="P1" sqref="P1"/>
    </sheetView>
  </sheetViews>
  <sheetFormatPr defaultColWidth="9.140625" defaultRowHeight="12.75"/>
  <cols>
    <col min="1" max="1" width="27.421875" style="0" customWidth="1"/>
    <col min="2" max="2" width="8.8515625" style="0" bestFit="1" customWidth="1"/>
    <col min="3" max="3" width="7.140625" style="0" bestFit="1" customWidth="1"/>
    <col min="4" max="4" width="8.8515625" style="0" bestFit="1" customWidth="1"/>
    <col min="5" max="5" width="7.00390625" style="0" bestFit="1" customWidth="1"/>
    <col min="6" max="6" width="8.8515625" style="0" bestFit="1" customWidth="1"/>
    <col min="7" max="7" width="15.140625" style="0" bestFit="1" customWidth="1"/>
    <col min="8" max="8" width="7.00390625" style="0" bestFit="1" customWidth="1"/>
    <col min="9" max="9" width="7.140625" style="0" bestFit="1" customWidth="1"/>
    <col min="10" max="11" width="7.00390625" style="0" bestFit="1" customWidth="1"/>
    <col min="12" max="12" width="6.28125" style="0" customWidth="1"/>
    <col min="13" max="13" width="7.00390625" style="0" bestFit="1" customWidth="1"/>
    <col min="14" max="14" width="6.140625" style="0" customWidth="1"/>
    <col min="15" max="15" width="7.00390625" style="0" bestFit="1" customWidth="1"/>
    <col min="16" max="16" width="8.28125" style="0" bestFit="1" customWidth="1"/>
    <col min="17" max="17" width="13.140625" style="0" bestFit="1" customWidth="1"/>
    <col min="18" max="18" width="13.8515625" style="0" bestFit="1" customWidth="1"/>
  </cols>
  <sheetData>
    <row r="1" ht="13.5" thickBot="1"/>
    <row r="2" spans="1:11" ht="12.75">
      <c r="A2" s="104" t="s">
        <v>13</v>
      </c>
      <c r="B2" s="105"/>
      <c r="C2" s="105"/>
      <c r="D2" s="105"/>
      <c r="E2" s="106"/>
      <c r="G2" s="104" t="s">
        <v>14</v>
      </c>
      <c r="H2" s="105"/>
      <c r="I2" s="105"/>
      <c r="J2" s="105"/>
      <c r="K2" s="106"/>
    </row>
    <row r="3" spans="1:11" ht="14.25">
      <c r="A3" s="47" t="s">
        <v>34</v>
      </c>
      <c r="B3" s="23" t="s">
        <v>12</v>
      </c>
      <c r="C3" s="23" t="s">
        <v>15</v>
      </c>
      <c r="D3" s="23" t="s">
        <v>16</v>
      </c>
      <c r="E3" s="81" t="s">
        <v>37</v>
      </c>
      <c r="G3" s="47" t="s">
        <v>34</v>
      </c>
      <c r="H3" s="23" t="s">
        <v>12</v>
      </c>
      <c r="I3" s="23" t="s">
        <v>15</v>
      </c>
      <c r="J3" s="23" t="s">
        <v>16</v>
      </c>
      <c r="K3" s="81" t="s">
        <v>37</v>
      </c>
    </row>
    <row r="4" spans="1:11" ht="12.75">
      <c r="A4" s="47" t="s">
        <v>110</v>
      </c>
      <c r="B4" s="37">
        <f>'Valeur du fumier'!B4</f>
        <v>0</v>
      </c>
      <c r="C4" s="37">
        <f>'Valeur du fumier'!C4</f>
        <v>46</v>
      </c>
      <c r="D4" s="37">
        <f>'Valeur du fumier'!D4</f>
        <v>0</v>
      </c>
      <c r="E4" s="82">
        <f>'Valeur du fumier'!E4</f>
        <v>0</v>
      </c>
      <c r="G4" s="32" t="str">
        <f>'Valeur du fumier'!A13</f>
        <v>0</v>
      </c>
      <c r="H4" s="37">
        <f>'Valeur du fumier'!B13</f>
        <v>0</v>
      </c>
      <c r="I4" s="37">
        <f>'Valeur du fumier'!C13</f>
        <v>0</v>
      </c>
      <c r="J4" s="37">
        <f>'Valeur du fumier'!D13</f>
        <v>0</v>
      </c>
      <c r="K4" s="82">
        <f>'Valeur du fumier'!E13</f>
        <v>0</v>
      </c>
    </row>
    <row r="5" spans="1:20" ht="12.75">
      <c r="A5" s="47" t="s">
        <v>109</v>
      </c>
      <c r="B5" s="38">
        <v>34</v>
      </c>
      <c r="C5" s="38">
        <v>0</v>
      </c>
      <c r="D5" s="38">
        <v>0</v>
      </c>
      <c r="E5" s="82">
        <f>'Valeur du fumier'!E5</f>
        <v>0</v>
      </c>
      <c r="G5" s="32"/>
      <c r="H5" s="38"/>
      <c r="I5" s="38"/>
      <c r="J5" s="38"/>
      <c r="K5" s="34"/>
      <c r="R5" s="4"/>
      <c r="S5" s="4"/>
      <c r="T5" s="4"/>
    </row>
    <row r="6" spans="1:20" ht="13.5" thickBot="1">
      <c r="A6" s="47" t="s">
        <v>35</v>
      </c>
      <c r="B6" s="38">
        <v>0</v>
      </c>
      <c r="C6" s="38">
        <v>0</v>
      </c>
      <c r="D6" s="38">
        <v>60</v>
      </c>
      <c r="E6" s="82">
        <f>'Valeur du fumier'!E6</f>
        <v>0</v>
      </c>
      <c r="G6" s="48" t="s">
        <v>36</v>
      </c>
      <c r="H6" s="52" t="e">
        <f>(K4)/(10*(J4+H4+I4))</f>
        <v>#DIV/0!</v>
      </c>
      <c r="I6" s="52" t="e">
        <f>((K4)/(10*(H4+I4+J4)))</f>
        <v>#DIV/0!</v>
      </c>
      <c r="J6" s="52" t="e">
        <f>((K4)/(10*(I4+J4+H4)))</f>
        <v>#DIV/0!</v>
      </c>
      <c r="K6" s="36"/>
      <c r="R6" s="4"/>
      <c r="S6" s="4"/>
      <c r="T6" s="4"/>
    </row>
    <row r="7" spans="1:21" ht="12.75">
      <c r="A7" s="47"/>
      <c r="B7" s="38"/>
      <c r="C7" s="39"/>
      <c r="D7" s="38"/>
      <c r="E7" s="33"/>
      <c r="Q7" s="29"/>
      <c r="R7" s="39"/>
      <c r="S7" s="39"/>
      <c r="T7" s="39"/>
      <c r="U7" s="5"/>
    </row>
    <row r="8" spans="1:21" ht="13.5" thickBot="1">
      <c r="A8" s="48" t="s">
        <v>36</v>
      </c>
      <c r="B8" s="80">
        <f>E5/(10*(B5+C5+D5))</f>
        <v>0</v>
      </c>
      <c r="C8" s="80">
        <f>(E4-(10*(B4*B8+D4*D8)))/(10*(C4))</f>
        <v>0</v>
      </c>
      <c r="D8" s="80">
        <f>E6/(10*(B6+C6+D6))</f>
        <v>0</v>
      </c>
      <c r="E8" s="35"/>
      <c r="Q8" s="29"/>
      <c r="R8" s="39"/>
      <c r="S8" s="39"/>
      <c r="T8" s="39"/>
      <c r="U8" s="5"/>
    </row>
    <row r="9" spans="1:21" ht="12.75">
      <c r="A9" s="26"/>
      <c r="B9" s="4"/>
      <c r="C9" s="4"/>
      <c r="D9" s="4"/>
      <c r="I9" s="5"/>
      <c r="Q9" s="29"/>
      <c r="R9" s="39"/>
      <c r="S9" s="39"/>
      <c r="T9" s="39"/>
      <c r="U9" s="5"/>
    </row>
    <row r="10" spans="2:18" ht="14.25">
      <c r="B10" s="64" t="s">
        <v>1</v>
      </c>
      <c r="C10" s="64"/>
      <c r="D10" s="64" t="s">
        <v>2</v>
      </c>
      <c r="E10" s="64"/>
      <c r="F10" s="64" t="s">
        <v>3</v>
      </c>
      <c r="G10" s="64"/>
      <c r="H10" s="64" t="s">
        <v>11</v>
      </c>
      <c r="I10" s="64"/>
      <c r="J10" s="64" t="s">
        <v>26</v>
      </c>
      <c r="K10" s="64"/>
      <c r="L10" s="64" t="s">
        <v>18</v>
      </c>
      <c r="M10" s="64"/>
      <c r="N10" s="64" t="s">
        <v>19</v>
      </c>
      <c r="O10" s="64"/>
      <c r="P10" s="12" t="s">
        <v>29</v>
      </c>
      <c r="Q10" s="12" t="s">
        <v>30</v>
      </c>
      <c r="R10" s="12" t="s">
        <v>38</v>
      </c>
    </row>
    <row r="11" spans="2:18" ht="12.75">
      <c r="B11" s="12" t="s">
        <v>0</v>
      </c>
      <c r="C11" s="12" t="s">
        <v>4</v>
      </c>
      <c r="D11" s="12" t="s">
        <v>0</v>
      </c>
      <c r="E11" s="12" t="s">
        <v>4</v>
      </c>
      <c r="F11" s="12" t="s">
        <v>0</v>
      </c>
      <c r="G11" s="12" t="s">
        <v>4</v>
      </c>
      <c r="H11" s="12"/>
      <c r="I11" s="12" t="s">
        <v>4</v>
      </c>
      <c r="J11" s="12"/>
      <c r="K11" s="12" t="s">
        <v>4</v>
      </c>
      <c r="L11" s="12"/>
      <c r="M11" s="12" t="s">
        <v>4</v>
      </c>
      <c r="N11" s="12"/>
      <c r="O11" s="12" t="s">
        <v>4</v>
      </c>
      <c r="P11" s="12" t="s">
        <v>39</v>
      </c>
      <c r="Q11" s="12" t="s">
        <v>31</v>
      </c>
      <c r="R11" s="12" t="s">
        <v>33</v>
      </c>
    </row>
    <row r="12" spans="1:18" ht="12.75">
      <c r="A12">
        <v>-100</v>
      </c>
      <c r="B12" s="4">
        <f aca="true" t="shared" si="0" ref="B12:B20">IF($B$22=0,($B$22+0),($B$22+A12))</f>
        <v>0</v>
      </c>
      <c r="C12" s="41" t="e">
        <f aca="true" t="shared" si="1" ref="C12:C42">IF(B$8=0,(B12/(10*(H$4+I$4+J$4))),(B12/(10*(B$5+C$5+D$5))))</f>
        <v>#DIV/0!</v>
      </c>
      <c r="D12" s="4">
        <f aca="true" t="shared" si="2" ref="D12:D20">IF($D$22=0,($D$22+0),($D$22+A12))</f>
        <v>0</v>
      </c>
      <c r="E12" s="41" t="e">
        <f aca="true" t="shared" si="3" ref="E12:E21">IF(C$8=0,(D12/(10*(H$4+I$4+J$4))),(D12/(10*(B$4+C$4+D$4))))</f>
        <v>#DIV/0!</v>
      </c>
      <c r="F12" s="4">
        <f aca="true" t="shared" si="4" ref="F12:F20">IF($F$22=0,($F$22+0),($F$22+A12))</f>
        <v>0</v>
      </c>
      <c r="G12" s="41" t="e">
        <f aca="true" t="shared" si="5" ref="G12:G42">IF(D$8=0,(F12/(10*(H$4+I$4+J$4))),(F12/(10*(B$6+C$6+D$6))))</f>
        <v>#DIV/0!</v>
      </c>
      <c r="H12" s="4">
        <f>'Valeur du fumier'!$D$21</f>
        <v>0</v>
      </c>
      <c r="I12" s="41" t="e">
        <f aca="true" t="shared" si="6" ref="I12:I42">H12*C12</f>
        <v>#DIV/0!</v>
      </c>
      <c r="J12" s="4">
        <f>'Valeur du fumier'!$D$22</f>
        <v>0</v>
      </c>
      <c r="K12" s="41" t="e">
        <f aca="true" t="shared" si="7" ref="K12:K42">J12*C12</f>
        <v>#DIV/0!</v>
      </c>
      <c r="L12" s="4">
        <f>'Valeur du fumier'!$D$23</f>
        <v>0</v>
      </c>
      <c r="M12" s="41" t="e">
        <f aca="true" t="shared" si="8" ref="M12:M42">L12*E12</f>
        <v>#DIV/0!</v>
      </c>
      <c r="N12" s="4">
        <f>'Valeur du fumier'!$D$24</f>
        <v>0</v>
      </c>
      <c r="O12" s="41" t="e">
        <f aca="true" t="shared" si="9" ref="O12:O21">N12*G12</f>
        <v>#DIV/0!</v>
      </c>
      <c r="P12" s="41" t="e">
        <f>I12+K12+M12+O12</f>
        <v>#DIV/0!</v>
      </c>
      <c r="Q12" s="8" t="e">
        <f>$P12*'Coût d''épandage ($ par h)'!F$6*'Coût d''épandage ($ par h)'!C$8/(2*(IF('Coût d''épandage ($ par h)'!C$27=0,'Coût d''épandage ($ par h)'!C$23,'Coût d''épandage ($ par h)'!C$27)))</f>
        <v>#DIV/0!</v>
      </c>
      <c r="R12" s="2" t="e">
        <f>60*P12*'Coût d''épandage ($ par h)'!C$8/(2*(IF('Coût d''épandage ($ par h)'!C$27=0,'Coût d''épandage ($ par h)'!C$23,'Coût d''épandage ($ par h)'!C$27)))</f>
        <v>#DIV/0!</v>
      </c>
    </row>
    <row r="13" spans="1:18" ht="12.75">
      <c r="A13">
        <v>-90</v>
      </c>
      <c r="B13" s="4">
        <f t="shared" si="0"/>
        <v>0</v>
      </c>
      <c r="C13" s="41" t="e">
        <f t="shared" si="1"/>
        <v>#DIV/0!</v>
      </c>
      <c r="D13" s="4">
        <f t="shared" si="2"/>
        <v>0</v>
      </c>
      <c r="E13" s="41" t="e">
        <f t="shared" si="3"/>
        <v>#DIV/0!</v>
      </c>
      <c r="F13" s="4">
        <f t="shared" si="4"/>
        <v>0</v>
      </c>
      <c r="G13" s="41" t="e">
        <f t="shared" si="5"/>
        <v>#DIV/0!</v>
      </c>
      <c r="H13" s="4">
        <f>'Valeur du fumier'!$D$21</f>
        <v>0</v>
      </c>
      <c r="I13" s="41" t="e">
        <f t="shared" si="6"/>
        <v>#DIV/0!</v>
      </c>
      <c r="J13" s="4">
        <f>'Valeur du fumier'!$D$22</f>
        <v>0</v>
      </c>
      <c r="K13" s="41" t="e">
        <f t="shared" si="7"/>
        <v>#DIV/0!</v>
      </c>
      <c r="L13" s="4">
        <f>'Valeur du fumier'!$D$23</f>
        <v>0</v>
      </c>
      <c r="M13" s="41" t="e">
        <f t="shared" si="8"/>
        <v>#DIV/0!</v>
      </c>
      <c r="N13" s="4">
        <f>'Valeur du fumier'!$D$24</f>
        <v>0</v>
      </c>
      <c r="O13" s="41" t="e">
        <f t="shared" si="9"/>
        <v>#DIV/0!</v>
      </c>
      <c r="P13" s="41" t="e">
        <f aca="true" t="shared" si="10" ref="P13:P42">I13+K13+M13+O13</f>
        <v>#DIV/0!</v>
      </c>
      <c r="Q13" s="8" t="e">
        <f>$P13*'Coût d''épandage ($ par h)'!F$6*'Coût d''épandage ($ par h)'!C$8/(2*(IF('Coût d''épandage ($ par h)'!C$27=0,'Coût d''épandage ($ par h)'!C$23,'Coût d''épandage ($ par h)'!C$27)))</f>
        <v>#DIV/0!</v>
      </c>
      <c r="R13" s="2" t="e">
        <f>60*P13*'Coût d''épandage ($ par h)'!C$8/(2*(IF('Coût d''épandage ($ par h)'!C$27=0,'Coût d''épandage ($ par h)'!C$23,'Coût d''épandage ($ par h)'!C$27)))</f>
        <v>#DIV/0!</v>
      </c>
    </row>
    <row r="14" spans="1:18" ht="12.75">
      <c r="A14">
        <v>-80</v>
      </c>
      <c r="B14" s="4">
        <f t="shared" si="0"/>
        <v>0</v>
      </c>
      <c r="C14" s="41" t="e">
        <f t="shared" si="1"/>
        <v>#DIV/0!</v>
      </c>
      <c r="D14" s="4">
        <f t="shared" si="2"/>
        <v>0</v>
      </c>
      <c r="E14" s="41" t="e">
        <f t="shared" si="3"/>
        <v>#DIV/0!</v>
      </c>
      <c r="F14" s="4">
        <f t="shared" si="4"/>
        <v>0</v>
      </c>
      <c r="G14" s="41" t="e">
        <f t="shared" si="5"/>
        <v>#DIV/0!</v>
      </c>
      <c r="H14" s="4">
        <f>'Valeur du fumier'!$D$21</f>
        <v>0</v>
      </c>
      <c r="I14" s="41" t="e">
        <f t="shared" si="6"/>
        <v>#DIV/0!</v>
      </c>
      <c r="J14" s="4">
        <f>'Valeur du fumier'!$D$22</f>
        <v>0</v>
      </c>
      <c r="K14" s="41" t="e">
        <f t="shared" si="7"/>
        <v>#DIV/0!</v>
      </c>
      <c r="L14" s="4">
        <f>'Valeur du fumier'!$D$23</f>
        <v>0</v>
      </c>
      <c r="M14" s="41" t="e">
        <f t="shared" si="8"/>
        <v>#DIV/0!</v>
      </c>
      <c r="N14" s="4">
        <f>'Valeur du fumier'!$D$24</f>
        <v>0</v>
      </c>
      <c r="O14" s="41" t="e">
        <f t="shared" si="9"/>
        <v>#DIV/0!</v>
      </c>
      <c r="P14" s="41" t="e">
        <f t="shared" si="10"/>
        <v>#DIV/0!</v>
      </c>
      <c r="Q14" s="8" t="e">
        <f>$P14*'Coût d''épandage ($ par h)'!F$6*'Coût d''épandage ($ par h)'!C$8/(2*(IF('Coût d''épandage ($ par h)'!C$27=0,'Coût d''épandage ($ par h)'!C$23,'Coût d''épandage ($ par h)'!C$27)))</f>
        <v>#DIV/0!</v>
      </c>
      <c r="R14" s="2" t="e">
        <f>60*P14*'Coût d''épandage ($ par h)'!C$8/(2*(IF('Coût d''épandage ($ par h)'!C$27=0,'Coût d''épandage ($ par h)'!C$23,'Coût d''épandage ($ par h)'!C$27)))</f>
        <v>#DIV/0!</v>
      </c>
    </row>
    <row r="15" spans="1:18" ht="12.75">
      <c r="A15">
        <v>-70</v>
      </c>
      <c r="B15" s="4">
        <f t="shared" si="0"/>
        <v>0</v>
      </c>
      <c r="C15" s="41" t="e">
        <f t="shared" si="1"/>
        <v>#DIV/0!</v>
      </c>
      <c r="D15" s="4">
        <f t="shared" si="2"/>
        <v>0</v>
      </c>
      <c r="E15" s="41" t="e">
        <f t="shared" si="3"/>
        <v>#DIV/0!</v>
      </c>
      <c r="F15" s="4">
        <f t="shared" si="4"/>
        <v>0</v>
      </c>
      <c r="G15" s="41" t="e">
        <f t="shared" si="5"/>
        <v>#DIV/0!</v>
      </c>
      <c r="H15" s="4">
        <f>'Valeur du fumier'!$D$21</f>
        <v>0</v>
      </c>
      <c r="I15" s="41" t="e">
        <f t="shared" si="6"/>
        <v>#DIV/0!</v>
      </c>
      <c r="J15" s="4">
        <f>'Valeur du fumier'!$D$22</f>
        <v>0</v>
      </c>
      <c r="K15" s="41" t="e">
        <f t="shared" si="7"/>
        <v>#DIV/0!</v>
      </c>
      <c r="L15" s="4">
        <f>'Valeur du fumier'!$D$23</f>
        <v>0</v>
      </c>
      <c r="M15" s="41" t="e">
        <f t="shared" si="8"/>
        <v>#DIV/0!</v>
      </c>
      <c r="N15" s="4">
        <f>'Valeur du fumier'!$D$24</f>
        <v>0</v>
      </c>
      <c r="O15" s="41" t="e">
        <f t="shared" si="9"/>
        <v>#DIV/0!</v>
      </c>
      <c r="P15" s="41" t="e">
        <f t="shared" si="10"/>
        <v>#DIV/0!</v>
      </c>
      <c r="Q15" s="8" t="e">
        <f>$P15*'Coût d''épandage ($ par h)'!F$6*'Coût d''épandage ($ par h)'!C$8/(2*(IF('Coût d''épandage ($ par h)'!C$27=0,'Coût d''épandage ($ par h)'!C$23,'Coût d''épandage ($ par h)'!C$27)))</f>
        <v>#DIV/0!</v>
      </c>
      <c r="R15" s="2" t="e">
        <f>60*P15*'Coût d''épandage ($ par h)'!C$8/(2*(IF('Coût d''épandage ($ par h)'!C$27=0,'Coût d''épandage ($ par h)'!C$23,'Coût d''épandage ($ par h)'!C$27)))</f>
        <v>#DIV/0!</v>
      </c>
    </row>
    <row r="16" spans="1:18" ht="12.75">
      <c r="A16">
        <v>-60</v>
      </c>
      <c r="B16" s="4">
        <f t="shared" si="0"/>
        <v>0</v>
      </c>
      <c r="C16" s="41" t="e">
        <f t="shared" si="1"/>
        <v>#DIV/0!</v>
      </c>
      <c r="D16" s="4">
        <f t="shared" si="2"/>
        <v>0</v>
      </c>
      <c r="E16" s="41" t="e">
        <f t="shared" si="3"/>
        <v>#DIV/0!</v>
      </c>
      <c r="F16" s="4">
        <f t="shared" si="4"/>
        <v>0</v>
      </c>
      <c r="G16" s="41" t="e">
        <f t="shared" si="5"/>
        <v>#DIV/0!</v>
      </c>
      <c r="H16" s="4">
        <f>'Valeur du fumier'!$D$21</f>
        <v>0</v>
      </c>
      <c r="I16" s="41" t="e">
        <f t="shared" si="6"/>
        <v>#DIV/0!</v>
      </c>
      <c r="J16" s="4">
        <f>'Valeur du fumier'!$D$22</f>
        <v>0</v>
      </c>
      <c r="K16" s="41" t="e">
        <f t="shared" si="7"/>
        <v>#DIV/0!</v>
      </c>
      <c r="L16" s="4">
        <f>'Valeur du fumier'!$D$23</f>
        <v>0</v>
      </c>
      <c r="M16" s="41" t="e">
        <f t="shared" si="8"/>
        <v>#DIV/0!</v>
      </c>
      <c r="N16" s="4">
        <f>'Valeur du fumier'!$D$24</f>
        <v>0</v>
      </c>
      <c r="O16" s="41" t="e">
        <f t="shared" si="9"/>
        <v>#DIV/0!</v>
      </c>
      <c r="P16" s="41" t="e">
        <f t="shared" si="10"/>
        <v>#DIV/0!</v>
      </c>
      <c r="Q16" s="8" t="e">
        <f>$P16*'Coût d''épandage ($ par h)'!F$6*'Coût d''épandage ($ par h)'!C$8/(2*(IF('Coût d''épandage ($ par h)'!C$27=0,'Coût d''épandage ($ par h)'!C$23,'Coût d''épandage ($ par h)'!C$27)))</f>
        <v>#DIV/0!</v>
      </c>
      <c r="R16" s="2" t="e">
        <f>60*P16*'Coût d''épandage ($ par h)'!C$8/(2*(IF('Coût d''épandage ($ par h)'!C$27=0,'Coût d''épandage ($ par h)'!C$23,'Coût d''épandage ($ par h)'!C$27)))</f>
        <v>#DIV/0!</v>
      </c>
    </row>
    <row r="17" spans="1:18" ht="12.75">
      <c r="A17">
        <v>-50</v>
      </c>
      <c r="B17" s="4">
        <f t="shared" si="0"/>
        <v>0</v>
      </c>
      <c r="C17" s="41" t="e">
        <f t="shared" si="1"/>
        <v>#DIV/0!</v>
      </c>
      <c r="D17" s="4">
        <f t="shared" si="2"/>
        <v>0</v>
      </c>
      <c r="E17" s="41" t="e">
        <f t="shared" si="3"/>
        <v>#DIV/0!</v>
      </c>
      <c r="F17" s="4">
        <f t="shared" si="4"/>
        <v>0</v>
      </c>
      <c r="G17" s="41" t="e">
        <f t="shared" si="5"/>
        <v>#DIV/0!</v>
      </c>
      <c r="H17" s="4">
        <f>'Valeur du fumier'!$D$21</f>
        <v>0</v>
      </c>
      <c r="I17" s="41" t="e">
        <f t="shared" si="6"/>
        <v>#DIV/0!</v>
      </c>
      <c r="J17" s="4">
        <f>'Valeur du fumier'!$D$22</f>
        <v>0</v>
      </c>
      <c r="K17" s="41" t="e">
        <f t="shared" si="7"/>
        <v>#DIV/0!</v>
      </c>
      <c r="L17" s="4">
        <f>'Valeur du fumier'!$D$23</f>
        <v>0</v>
      </c>
      <c r="M17" s="41" t="e">
        <f t="shared" si="8"/>
        <v>#DIV/0!</v>
      </c>
      <c r="N17" s="4">
        <f>'Valeur du fumier'!$D$24</f>
        <v>0</v>
      </c>
      <c r="O17" s="41" t="e">
        <f t="shared" si="9"/>
        <v>#DIV/0!</v>
      </c>
      <c r="P17" s="41" t="e">
        <f t="shared" si="10"/>
        <v>#DIV/0!</v>
      </c>
      <c r="Q17" s="8" t="e">
        <f>$P17*'Coût d''épandage ($ par h)'!F$6*'Coût d''épandage ($ par h)'!C$8/(2*(IF('Coût d''épandage ($ par h)'!C$27=0,'Coût d''épandage ($ par h)'!C$23,'Coût d''épandage ($ par h)'!C$27)))</f>
        <v>#DIV/0!</v>
      </c>
      <c r="R17" s="2" t="e">
        <f>60*P17*'Coût d''épandage ($ par h)'!C$8/(2*(IF('Coût d''épandage ($ par h)'!C$27=0,'Coût d''épandage ($ par h)'!C$23,'Coût d''épandage ($ par h)'!C$27)))</f>
        <v>#DIV/0!</v>
      </c>
    </row>
    <row r="18" spans="1:18" ht="12.75">
      <c r="A18">
        <v>-40</v>
      </c>
      <c r="B18" s="4">
        <f t="shared" si="0"/>
        <v>0</v>
      </c>
      <c r="C18" s="41" t="e">
        <f t="shared" si="1"/>
        <v>#DIV/0!</v>
      </c>
      <c r="D18" s="4">
        <f t="shared" si="2"/>
        <v>0</v>
      </c>
      <c r="E18" s="41" t="e">
        <f t="shared" si="3"/>
        <v>#DIV/0!</v>
      </c>
      <c r="F18" s="4">
        <f t="shared" si="4"/>
        <v>0</v>
      </c>
      <c r="G18" s="41" t="e">
        <f t="shared" si="5"/>
        <v>#DIV/0!</v>
      </c>
      <c r="H18" s="4">
        <f>'Valeur du fumier'!$D$21</f>
        <v>0</v>
      </c>
      <c r="I18" s="41" t="e">
        <f t="shared" si="6"/>
        <v>#DIV/0!</v>
      </c>
      <c r="J18" s="4">
        <f>'Valeur du fumier'!$D$22</f>
        <v>0</v>
      </c>
      <c r="K18" s="41" t="e">
        <f t="shared" si="7"/>
        <v>#DIV/0!</v>
      </c>
      <c r="L18" s="4">
        <f>'Valeur du fumier'!$D$23</f>
        <v>0</v>
      </c>
      <c r="M18" s="41" t="e">
        <f t="shared" si="8"/>
        <v>#DIV/0!</v>
      </c>
      <c r="N18" s="4">
        <f>'Valeur du fumier'!$D$24</f>
        <v>0</v>
      </c>
      <c r="O18" s="41" t="e">
        <f t="shared" si="9"/>
        <v>#DIV/0!</v>
      </c>
      <c r="P18" s="41" t="e">
        <f t="shared" si="10"/>
        <v>#DIV/0!</v>
      </c>
      <c r="Q18" s="8" t="e">
        <f>$P18*'Coût d''épandage ($ par h)'!F$6*'Coût d''épandage ($ par h)'!C$8/(2*(IF('Coût d''épandage ($ par h)'!C$27=0,'Coût d''épandage ($ par h)'!C$23,'Coût d''épandage ($ par h)'!C$27)))</f>
        <v>#DIV/0!</v>
      </c>
      <c r="R18" s="2" t="e">
        <f>60*P18*'Coût d''épandage ($ par h)'!C$8/(2*(IF('Coût d''épandage ($ par h)'!C$27=0,'Coût d''épandage ($ par h)'!C$23,'Coût d''épandage ($ par h)'!C$27)))</f>
        <v>#DIV/0!</v>
      </c>
    </row>
    <row r="19" spans="1:18" ht="12.75">
      <c r="A19">
        <v>-30</v>
      </c>
      <c r="B19" s="4">
        <f t="shared" si="0"/>
        <v>0</v>
      </c>
      <c r="C19" s="41" t="e">
        <f t="shared" si="1"/>
        <v>#DIV/0!</v>
      </c>
      <c r="D19" s="4">
        <f t="shared" si="2"/>
        <v>0</v>
      </c>
      <c r="E19" s="41" t="e">
        <f t="shared" si="3"/>
        <v>#DIV/0!</v>
      </c>
      <c r="F19" s="4">
        <f t="shared" si="4"/>
        <v>0</v>
      </c>
      <c r="G19" s="41" t="e">
        <f t="shared" si="5"/>
        <v>#DIV/0!</v>
      </c>
      <c r="H19" s="4">
        <f>'Valeur du fumier'!$D$21</f>
        <v>0</v>
      </c>
      <c r="I19" s="41" t="e">
        <f t="shared" si="6"/>
        <v>#DIV/0!</v>
      </c>
      <c r="J19" s="4">
        <f>'Valeur du fumier'!$D$22</f>
        <v>0</v>
      </c>
      <c r="K19" s="41" t="e">
        <f t="shared" si="7"/>
        <v>#DIV/0!</v>
      </c>
      <c r="L19" s="4">
        <f>'Valeur du fumier'!$D$23</f>
        <v>0</v>
      </c>
      <c r="M19" s="41" t="e">
        <f t="shared" si="8"/>
        <v>#DIV/0!</v>
      </c>
      <c r="N19" s="4">
        <f>'Valeur du fumier'!$D$24</f>
        <v>0</v>
      </c>
      <c r="O19" s="41" t="e">
        <f t="shared" si="9"/>
        <v>#DIV/0!</v>
      </c>
      <c r="P19" s="41" t="e">
        <f t="shared" si="10"/>
        <v>#DIV/0!</v>
      </c>
      <c r="Q19" s="8" t="e">
        <f>$P19*'Coût d''épandage ($ par h)'!F$6*'Coût d''épandage ($ par h)'!C$8/(2*(IF('Coût d''épandage ($ par h)'!C$27=0,'Coût d''épandage ($ par h)'!C$23,'Coût d''épandage ($ par h)'!C$27)))</f>
        <v>#DIV/0!</v>
      </c>
      <c r="R19" s="2" t="e">
        <f>60*P19*'Coût d''épandage ($ par h)'!C$8/(2*(IF('Coût d''épandage ($ par h)'!C$27=0,'Coût d''épandage ($ par h)'!C$23,'Coût d''épandage ($ par h)'!C$27)))</f>
        <v>#DIV/0!</v>
      </c>
    </row>
    <row r="20" spans="1:18" ht="12.75">
      <c r="A20">
        <v>-20</v>
      </c>
      <c r="B20" s="4">
        <f t="shared" si="0"/>
        <v>0</v>
      </c>
      <c r="C20" s="41" t="e">
        <f t="shared" si="1"/>
        <v>#DIV/0!</v>
      </c>
      <c r="D20" s="4">
        <f t="shared" si="2"/>
        <v>0</v>
      </c>
      <c r="E20" s="41" t="e">
        <f t="shared" si="3"/>
        <v>#DIV/0!</v>
      </c>
      <c r="F20" s="4">
        <f t="shared" si="4"/>
        <v>0</v>
      </c>
      <c r="G20" s="41" t="e">
        <f t="shared" si="5"/>
        <v>#DIV/0!</v>
      </c>
      <c r="H20" s="4">
        <f>'Valeur du fumier'!$D$21</f>
        <v>0</v>
      </c>
      <c r="I20" s="41" t="e">
        <f t="shared" si="6"/>
        <v>#DIV/0!</v>
      </c>
      <c r="J20" s="4">
        <f>'Valeur du fumier'!$D$22</f>
        <v>0</v>
      </c>
      <c r="K20" s="41" t="e">
        <f t="shared" si="7"/>
        <v>#DIV/0!</v>
      </c>
      <c r="L20" s="4">
        <f>'Valeur du fumier'!$D$23</f>
        <v>0</v>
      </c>
      <c r="M20" s="41" t="e">
        <f t="shared" si="8"/>
        <v>#DIV/0!</v>
      </c>
      <c r="N20" s="4">
        <f>'Valeur du fumier'!$D$24</f>
        <v>0</v>
      </c>
      <c r="O20" s="41" t="e">
        <f t="shared" si="9"/>
        <v>#DIV/0!</v>
      </c>
      <c r="P20" s="41" t="e">
        <f t="shared" si="10"/>
        <v>#DIV/0!</v>
      </c>
      <c r="Q20" s="8" t="e">
        <f>$P20*'Coût d''épandage ($ par h)'!F$6*'Coût d''épandage ($ par h)'!C$8/(2*(IF('Coût d''épandage ($ par h)'!C$27=0,'Coût d''épandage ($ par h)'!C$23,'Coût d''épandage ($ par h)'!C$27)))</f>
        <v>#DIV/0!</v>
      </c>
      <c r="R20" s="2" t="e">
        <f>60*P20*'Coût d''épandage ($ par h)'!C$8/(2*(IF('Coût d''épandage ($ par h)'!C$27=0,'Coût d''épandage ($ par h)'!C$23,'Coût d''épandage ($ par h)'!C$27)))</f>
        <v>#DIV/0!</v>
      </c>
    </row>
    <row r="21" spans="1:18" ht="12.75">
      <c r="A21">
        <v>-10</v>
      </c>
      <c r="B21" s="4">
        <f>IF($B$22=0,($B$22+0),($B$22+A21))</f>
        <v>0</v>
      </c>
      <c r="C21" s="41" t="e">
        <f t="shared" si="1"/>
        <v>#DIV/0!</v>
      </c>
      <c r="D21" s="4">
        <f>IF($D$22=0,($D$22+0),($D$22+A21))</f>
        <v>0</v>
      </c>
      <c r="E21" s="41" t="e">
        <f t="shared" si="3"/>
        <v>#DIV/0!</v>
      </c>
      <c r="F21" s="4">
        <f>IF($F$22=0,($F$22+0),($F$22+A21))</f>
        <v>0</v>
      </c>
      <c r="G21" s="41" t="e">
        <f t="shared" si="5"/>
        <v>#DIV/0!</v>
      </c>
      <c r="H21" s="4">
        <f>'Valeur du fumier'!$D$21</f>
        <v>0</v>
      </c>
      <c r="I21" s="41" t="e">
        <f t="shared" si="6"/>
        <v>#DIV/0!</v>
      </c>
      <c r="J21" s="4">
        <f>'Valeur du fumier'!$D$22</f>
        <v>0</v>
      </c>
      <c r="K21" s="41" t="e">
        <f t="shared" si="7"/>
        <v>#DIV/0!</v>
      </c>
      <c r="L21" s="4">
        <f>'Valeur du fumier'!$D$23</f>
        <v>0</v>
      </c>
      <c r="M21" s="41" t="e">
        <f t="shared" si="8"/>
        <v>#DIV/0!</v>
      </c>
      <c r="N21" s="4">
        <f>'Valeur du fumier'!$D$24</f>
        <v>0</v>
      </c>
      <c r="O21" s="41" t="e">
        <f t="shared" si="9"/>
        <v>#DIV/0!</v>
      </c>
      <c r="P21" s="41" t="e">
        <f t="shared" si="10"/>
        <v>#DIV/0!</v>
      </c>
      <c r="Q21" s="8" t="e">
        <f>$P21*'Coût d''épandage ($ par h)'!F$6*'Coût d''épandage ($ par h)'!C$8/(2*(IF('Coût d''épandage ($ par h)'!C$27=0,'Coût d''épandage ($ par h)'!C$23,'Coût d''épandage ($ par h)'!C$27)))</f>
        <v>#DIV/0!</v>
      </c>
      <c r="R21" s="2" t="e">
        <f>60*P21*'Coût d''épandage ($ par h)'!C$8/(2*(IF('Coût d''épandage ($ par h)'!C$27=0,'Coût d''épandage ($ par h)'!C$23,'Coût d''épandage ($ par h)'!C$27)))</f>
        <v>#DIV/0!</v>
      </c>
    </row>
    <row r="22" spans="1:18" ht="12.75">
      <c r="A22" s="6">
        <v>0</v>
      </c>
      <c r="B22" s="40">
        <f>IF(E5=0,K4,E5)</f>
        <v>0</v>
      </c>
      <c r="C22" s="7" t="e">
        <f>IF(B$8=0,(B22/(10*(H$4+I$4+J$4))),(B22/(10*(B$5+C$5+D$5))))</f>
        <v>#DIV/0!</v>
      </c>
      <c r="D22" s="40">
        <f>IF(E4=0,K4,E4)</f>
        <v>0</v>
      </c>
      <c r="E22" s="7" t="e">
        <f>IF(C$8=0,(D22/(10*(H$4+I$4+J$4))),(D22/(10*(B$4+C$4+D$4))))</f>
        <v>#DIV/0!</v>
      </c>
      <c r="F22" s="6">
        <f>IF(E6=0,K4,E6)</f>
        <v>0</v>
      </c>
      <c r="G22" s="7" t="e">
        <f>IF(D$8=0,(F22/(10*(H$4+I$4+J$4))),(F22/(10*(B$6+C$6+D$6))))</f>
        <v>#DIV/0!</v>
      </c>
      <c r="H22" s="6">
        <f>'Valeur du fumier'!$D$21</f>
        <v>0</v>
      </c>
      <c r="I22" s="7" t="e">
        <f>H22*C22</f>
        <v>#DIV/0!</v>
      </c>
      <c r="J22" s="6">
        <f>'Valeur du fumier'!$D$22</f>
        <v>0</v>
      </c>
      <c r="K22" s="7" t="e">
        <f>J22*C22</f>
        <v>#DIV/0!</v>
      </c>
      <c r="L22" s="6">
        <f>'Valeur du fumier'!$D$23</f>
        <v>0</v>
      </c>
      <c r="M22" s="7" t="e">
        <f>L22*E22</f>
        <v>#DIV/0!</v>
      </c>
      <c r="N22" s="6">
        <f>'Valeur du fumier'!$D$24</f>
        <v>0</v>
      </c>
      <c r="O22" s="7" t="e">
        <f>N22*G22</f>
        <v>#DIV/0!</v>
      </c>
      <c r="P22" s="7" t="e">
        <f t="shared" si="10"/>
        <v>#DIV/0!</v>
      </c>
      <c r="Q22" s="68" t="e">
        <f>$P22*'Coût d''épandage ($ par h)'!F$6*'Coût d''épandage ($ par h)'!C$8/(2*(IF('Coût d''épandage ($ par h)'!C$27=0,'Coût d''épandage ($ par h)'!C$23,'Coût d''épandage ($ par h)'!C$27)))</f>
        <v>#DIV/0!</v>
      </c>
      <c r="R22" s="69" t="e">
        <f>60*P22*'Coût d''épandage ($ par h)'!C$8/(2*(IF('Coût d''épandage ($ par h)'!C$27=0,'Coût d''épandage ($ par h)'!C$23,'Coût d''épandage ($ par h)'!C$27)))</f>
        <v>#DIV/0!</v>
      </c>
    </row>
    <row r="23" spans="1:18" ht="12.75">
      <c r="A23">
        <v>10</v>
      </c>
      <c r="B23">
        <f>IF($B$22=0,($B$22+0),($B$22+A23))</f>
        <v>0</v>
      </c>
      <c r="C23" s="41" t="e">
        <f t="shared" si="1"/>
        <v>#DIV/0!</v>
      </c>
      <c r="D23" s="4">
        <f>IF($D$22=0,($D$22+0),($D$22+A23))</f>
        <v>0</v>
      </c>
      <c r="E23" s="41" t="e">
        <f aca="true" t="shared" si="11" ref="E23:E42">IF(C$8=0,(D23/(10*(H$4+I$4+J$4))),(D23/(10*(B$4+C$4+D$4))))</f>
        <v>#DIV/0!</v>
      </c>
      <c r="F23" s="4">
        <f>IF($F$22=0,($F$22+0),($F$22+A23))</f>
        <v>0</v>
      </c>
      <c r="G23" s="41" t="e">
        <f t="shared" si="5"/>
        <v>#DIV/0!</v>
      </c>
      <c r="H23" s="4">
        <f>'Valeur du fumier'!$D$21</f>
        <v>0</v>
      </c>
      <c r="I23" s="41" t="e">
        <f t="shared" si="6"/>
        <v>#DIV/0!</v>
      </c>
      <c r="J23" s="4">
        <f>'Valeur du fumier'!$D$22</f>
        <v>0</v>
      </c>
      <c r="K23" s="41" t="e">
        <f t="shared" si="7"/>
        <v>#DIV/0!</v>
      </c>
      <c r="L23" s="4">
        <f>'Valeur du fumier'!$D$23</f>
        <v>0</v>
      </c>
      <c r="M23" s="41" t="e">
        <f t="shared" si="8"/>
        <v>#DIV/0!</v>
      </c>
      <c r="N23" s="4">
        <f>'Valeur du fumier'!$D$24</f>
        <v>0</v>
      </c>
      <c r="O23" s="41" t="e">
        <f aca="true" t="shared" si="12" ref="O23:O42">N23*G23</f>
        <v>#DIV/0!</v>
      </c>
      <c r="P23" s="41" t="e">
        <f t="shared" si="10"/>
        <v>#DIV/0!</v>
      </c>
      <c r="Q23" s="8" t="e">
        <f>$P23*'Coût d''épandage ($ par h)'!F$6*'Coût d''épandage ($ par h)'!C$8/(2*(IF('Coût d''épandage ($ par h)'!C$27=0,'Coût d''épandage ($ par h)'!C$23,'Coût d''épandage ($ par h)'!C$27)))</f>
        <v>#DIV/0!</v>
      </c>
      <c r="R23" s="2" t="e">
        <f>60*P23*'Coût d''épandage ($ par h)'!C$8/(2*(IF('Coût d''épandage ($ par h)'!C$27=0,'Coût d''épandage ($ par h)'!C$23,'Coût d''épandage ($ par h)'!C$27)))</f>
        <v>#DIV/0!</v>
      </c>
    </row>
    <row r="24" spans="1:18" ht="12.75">
      <c r="A24">
        <v>20</v>
      </c>
      <c r="B24">
        <f aca="true" t="shared" si="13" ref="B24:B42">IF($B$22=0,($B$22+0),($B$22+A24))</f>
        <v>0</v>
      </c>
      <c r="C24" s="41" t="e">
        <f t="shared" si="1"/>
        <v>#DIV/0!</v>
      </c>
      <c r="D24" s="4">
        <f aca="true" t="shared" si="14" ref="D24:D42">IF($D$22=0,($D$22+0),($D$22+A24))</f>
        <v>0</v>
      </c>
      <c r="E24" s="41" t="e">
        <f t="shared" si="11"/>
        <v>#DIV/0!</v>
      </c>
      <c r="F24" s="4">
        <f aca="true" t="shared" si="15" ref="F24:F42">IF($F$22=0,($F$22+0),($F$22+A24))</f>
        <v>0</v>
      </c>
      <c r="G24" s="41" t="e">
        <f t="shared" si="5"/>
        <v>#DIV/0!</v>
      </c>
      <c r="H24" s="4">
        <f>'Valeur du fumier'!$D$21</f>
        <v>0</v>
      </c>
      <c r="I24" s="41" t="e">
        <f t="shared" si="6"/>
        <v>#DIV/0!</v>
      </c>
      <c r="J24" s="4">
        <f>'Valeur du fumier'!$D$22</f>
        <v>0</v>
      </c>
      <c r="K24" s="41" t="e">
        <f t="shared" si="7"/>
        <v>#DIV/0!</v>
      </c>
      <c r="L24" s="4">
        <f>'Valeur du fumier'!$D$23</f>
        <v>0</v>
      </c>
      <c r="M24" s="41" t="e">
        <f t="shared" si="8"/>
        <v>#DIV/0!</v>
      </c>
      <c r="N24" s="4">
        <f>'Valeur du fumier'!$D$24</f>
        <v>0</v>
      </c>
      <c r="O24" s="41" t="e">
        <f t="shared" si="12"/>
        <v>#DIV/0!</v>
      </c>
      <c r="P24" s="41" t="e">
        <f t="shared" si="10"/>
        <v>#DIV/0!</v>
      </c>
      <c r="Q24" s="8" t="e">
        <f>$P24*'Coût d''épandage ($ par h)'!F$6*'Coût d''épandage ($ par h)'!C$8/(2*(IF('Coût d''épandage ($ par h)'!C$27=0,'Coût d''épandage ($ par h)'!C$23,'Coût d''épandage ($ par h)'!C$27)))</f>
        <v>#DIV/0!</v>
      </c>
      <c r="R24" s="2" t="e">
        <f>60*P24*'Coût d''épandage ($ par h)'!C$8/(2*(IF('Coût d''épandage ($ par h)'!C$27=0,'Coût d''épandage ($ par h)'!C$23,'Coût d''épandage ($ par h)'!C$27)))</f>
        <v>#DIV/0!</v>
      </c>
    </row>
    <row r="25" spans="1:18" ht="12.75">
      <c r="A25">
        <v>30</v>
      </c>
      <c r="B25">
        <f t="shared" si="13"/>
        <v>0</v>
      </c>
      <c r="C25" s="41" t="e">
        <f t="shared" si="1"/>
        <v>#DIV/0!</v>
      </c>
      <c r="D25" s="4">
        <f t="shared" si="14"/>
        <v>0</v>
      </c>
      <c r="E25" s="41" t="e">
        <f t="shared" si="11"/>
        <v>#DIV/0!</v>
      </c>
      <c r="F25" s="4">
        <f t="shared" si="15"/>
        <v>0</v>
      </c>
      <c r="G25" s="41" t="e">
        <f t="shared" si="5"/>
        <v>#DIV/0!</v>
      </c>
      <c r="H25" s="4">
        <f>'Valeur du fumier'!$D$21</f>
        <v>0</v>
      </c>
      <c r="I25" s="41" t="e">
        <f t="shared" si="6"/>
        <v>#DIV/0!</v>
      </c>
      <c r="J25" s="4">
        <f>'Valeur du fumier'!$D$22</f>
        <v>0</v>
      </c>
      <c r="K25" s="41" t="e">
        <f t="shared" si="7"/>
        <v>#DIV/0!</v>
      </c>
      <c r="L25" s="4">
        <f>'Valeur du fumier'!$D$23</f>
        <v>0</v>
      </c>
      <c r="M25" s="41" t="e">
        <f t="shared" si="8"/>
        <v>#DIV/0!</v>
      </c>
      <c r="N25" s="4">
        <f>'Valeur du fumier'!$D$24</f>
        <v>0</v>
      </c>
      <c r="O25" s="41" t="e">
        <f t="shared" si="12"/>
        <v>#DIV/0!</v>
      </c>
      <c r="P25" s="41" t="e">
        <f t="shared" si="10"/>
        <v>#DIV/0!</v>
      </c>
      <c r="Q25" s="8" t="e">
        <f>$P25*'Coût d''épandage ($ par h)'!F$6*'Coût d''épandage ($ par h)'!C$8/(2*(IF('Coût d''épandage ($ par h)'!C$27=0,'Coût d''épandage ($ par h)'!C$23,'Coût d''épandage ($ par h)'!C$27)))</f>
        <v>#DIV/0!</v>
      </c>
      <c r="R25" s="2" t="e">
        <f>60*P25*'Coût d''épandage ($ par h)'!C$8/(2*(IF('Coût d''épandage ($ par h)'!C$27=0,'Coût d''épandage ($ par h)'!C$23,'Coût d''épandage ($ par h)'!C$27)))</f>
        <v>#DIV/0!</v>
      </c>
    </row>
    <row r="26" spans="1:18" ht="12.75">
      <c r="A26">
        <v>40</v>
      </c>
      <c r="B26">
        <f t="shared" si="13"/>
        <v>0</v>
      </c>
      <c r="C26" s="41" t="e">
        <f t="shared" si="1"/>
        <v>#DIV/0!</v>
      </c>
      <c r="D26" s="4">
        <f t="shared" si="14"/>
        <v>0</v>
      </c>
      <c r="E26" s="41" t="e">
        <f t="shared" si="11"/>
        <v>#DIV/0!</v>
      </c>
      <c r="F26" s="4">
        <f t="shared" si="15"/>
        <v>0</v>
      </c>
      <c r="G26" s="41" t="e">
        <f t="shared" si="5"/>
        <v>#DIV/0!</v>
      </c>
      <c r="H26" s="4">
        <f>'Valeur du fumier'!$D$21</f>
        <v>0</v>
      </c>
      <c r="I26" s="41" t="e">
        <f t="shared" si="6"/>
        <v>#DIV/0!</v>
      </c>
      <c r="J26" s="4">
        <f>'Valeur du fumier'!$D$22</f>
        <v>0</v>
      </c>
      <c r="K26" s="41" t="e">
        <f t="shared" si="7"/>
        <v>#DIV/0!</v>
      </c>
      <c r="L26" s="4">
        <f>'Valeur du fumier'!$D$23</f>
        <v>0</v>
      </c>
      <c r="M26" s="41" t="e">
        <f t="shared" si="8"/>
        <v>#DIV/0!</v>
      </c>
      <c r="N26" s="4">
        <f>'Valeur du fumier'!$D$24</f>
        <v>0</v>
      </c>
      <c r="O26" s="41" t="e">
        <f t="shared" si="12"/>
        <v>#DIV/0!</v>
      </c>
      <c r="P26" s="41" t="e">
        <f t="shared" si="10"/>
        <v>#DIV/0!</v>
      </c>
      <c r="Q26" s="8" t="e">
        <f>$P26*'Coût d''épandage ($ par h)'!F$6*'Coût d''épandage ($ par h)'!C$8/(2*(IF('Coût d''épandage ($ par h)'!C$27=0,'Coût d''épandage ($ par h)'!C$23,'Coût d''épandage ($ par h)'!C$27)))</f>
        <v>#DIV/0!</v>
      </c>
      <c r="R26" s="2" t="e">
        <f>60*P26*'Coût d''épandage ($ par h)'!C$8/(2*(IF('Coût d''épandage ($ par h)'!C$27=0,'Coût d''épandage ($ par h)'!C$23,'Coût d''épandage ($ par h)'!C$27)))</f>
        <v>#DIV/0!</v>
      </c>
    </row>
    <row r="27" spans="1:18" ht="12.75">
      <c r="A27">
        <v>50</v>
      </c>
      <c r="B27">
        <f t="shared" si="13"/>
        <v>0</v>
      </c>
      <c r="C27" s="41" t="e">
        <f t="shared" si="1"/>
        <v>#DIV/0!</v>
      </c>
      <c r="D27" s="4">
        <f t="shared" si="14"/>
        <v>0</v>
      </c>
      <c r="E27" s="41" t="e">
        <f t="shared" si="11"/>
        <v>#DIV/0!</v>
      </c>
      <c r="F27" s="4">
        <f t="shared" si="15"/>
        <v>0</v>
      </c>
      <c r="G27" s="41" t="e">
        <f t="shared" si="5"/>
        <v>#DIV/0!</v>
      </c>
      <c r="H27" s="4">
        <f>'Valeur du fumier'!$D$21</f>
        <v>0</v>
      </c>
      <c r="I27" s="41" t="e">
        <f t="shared" si="6"/>
        <v>#DIV/0!</v>
      </c>
      <c r="J27" s="4">
        <f>'Valeur du fumier'!$D$22</f>
        <v>0</v>
      </c>
      <c r="K27" s="41" t="e">
        <f t="shared" si="7"/>
        <v>#DIV/0!</v>
      </c>
      <c r="L27" s="4">
        <f>'Valeur du fumier'!$D$23</f>
        <v>0</v>
      </c>
      <c r="M27" s="41" t="e">
        <f t="shared" si="8"/>
        <v>#DIV/0!</v>
      </c>
      <c r="N27" s="4">
        <f>'Valeur du fumier'!$D$24</f>
        <v>0</v>
      </c>
      <c r="O27" s="41" t="e">
        <f t="shared" si="12"/>
        <v>#DIV/0!</v>
      </c>
      <c r="P27" s="41" t="e">
        <f t="shared" si="10"/>
        <v>#DIV/0!</v>
      </c>
      <c r="Q27" s="8" t="e">
        <f>$P27*'Coût d''épandage ($ par h)'!F$6*'Coût d''épandage ($ par h)'!C$8/(2*(IF('Coût d''épandage ($ par h)'!C$27=0,'Coût d''épandage ($ par h)'!C$23,'Coût d''épandage ($ par h)'!C$27)))</f>
        <v>#DIV/0!</v>
      </c>
      <c r="R27" s="2" t="e">
        <f>60*P27*'Coût d''épandage ($ par h)'!C$8/(2*(IF('Coût d''épandage ($ par h)'!C$27=0,'Coût d''épandage ($ par h)'!C$23,'Coût d''épandage ($ par h)'!C$27)))</f>
        <v>#DIV/0!</v>
      </c>
    </row>
    <row r="28" spans="1:18" ht="12.75">
      <c r="A28">
        <v>60</v>
      </c>
      <c r="B28">
        <f t="shared" si="13"/>
        <v>0</v>
      </c>
      <c r="C28" s="41" t="e">
        <f t="shared" si="1"/>
        <v>#DIV/0!</v>
      </c>
      <c r="D28" s="4">
        <f t="shared" si="14"/>
        <v>0</v>
      </c>
      <c r="E28" s="41" t="e">
        <f t="shared" si="11"/>
        <v>#DIV/0!</v>
      </c>
      <c r="F28" s="4">
        <f t="shared" si="15"/>
        <v>0</v>
      </c>
      <c r="G28" s="41" t="e">
        <f t="shared" si="5"/>
        <v>#DIV/0!</v>
      </c>
      <c r="H28" s="4">
        <f>'Valeur du fumier'!$D$21</f>
        <v>0</v>
      </c>
      <c r="I28" s="41" t="e">
        <f t="shared" si="6"/>
        <v>#DIV/0!</v>
      </c>
      <c r="J28" s="4">
        <f>'Valeur du fumier'!$D$22</f>
        <v>0</v>
      </c>
      <c r="K28" s="41" t="e">
        <f t="shared" si="7"/>
        <v>#DIV/0!</v>
      </c>
      <c r="L28" s="4">
        <f>'Valeur du fumier'!$D$23</f>
        <v>0</v>
      </c>
      <c r="M28" s="41" t="e">
        <f t="shared" si="8"/>
        <v>#DIV/0!</v>
      </c>
      <c r="N28" s="4">
        <f>'Valeur du fumier'!$D$24</f>
        <v>0</v>
      </c>
      <c r="O28" s="41" t="e">
        <f t="shared" si="12"/>
        <v>#DIV/0!</v>
      </c>
      <c r="P28" s="41" t="e">
        <f t="shared" si="10"/>
        <v>#DIV/0!</v>
      </c>
      <c r="Q28" s="8" t="e">
        <f>$P28*'Coût d''épandage ($ par h)'!F$6*'Coût d''épandage ($ par h)'!C$8/(2*(IF('Coût d''épandage ($ par h)'!C$27=0,'Coût d''épandage ($ par h)'!C$23,'Coût d''épandage ($ par h)'!C$27)))</f>
        <v>#DIV/0!</v>
      </c>
      <c r="R28" s="2" t="e">
        <f>60*P28*'Coût d''épandage ($ par h)'!C$8/(2*(IF('Coût d''épandage ($ par h)'!C$27=0,'Coût d''épandage ($ par h)'!C$23,'Coût d''épandage ($ par h)'!C$27)))</f>
        <v>#DIV/0!</v>
      </c>
    </row>
    <row r="29" spans="1:18" ht="12.75">
      <c r="A29">
        <v>70</v>
      </c>
      <c r="B29">
        <f t="shared" si="13"/>
        <v>0</v>
      </c>
      <c r="C29" s="41" t="e">
        <f t="shared" si="1"/>
        <v>#DIV/0!</v>
      </c>
      <c r="D29" s="4">
        <f t="shared" si="14"/>
        <v>0</v>
      </c>
      <c r="E29" s="41" t="e">
        <f t="shared" si="11"/>
        <v>#DIV/0!</v>
      </c>
      <c r="F29" s="4">
        <f t="shared" si="15"/>
        <v>0</v>
      </c>
      <c r="G29" s="41" t="e">
        <f t="shared" si="5"/>
        <v>#DIV/0!</v>
      </c>
      <c r="H29" s="4">
        <f>'Valeur du fumier'!$D$21</f>
        <v>0</v>
      </c>
      <c r="I29" s="41" t="e">
        <f t="shared" si="6"/>
        <v>#DIV/0!</v>
      </c>
      <c r="J29" s="4">
        <f>'Valeur du fumier'!$D$22</f>
        <v>0</v>
      </c>
      <c r="K29" s="41" t="e">
        <f t="shared" si="7"/>
        <v>#DIV/0!</v>
      </c>
      <c r="L29" s="4">
        <f>'Valeur du fumier'!$D$23</f>
        <v>0</v>
      </c>
      <c r="M29" s="41" t="e">
        <f t="shared" si="8"/>
        <v>#DIV/0!</v>
      </c>
      <c r="N29" s="4">
        <f>'Valeur du fumier'!$D$24</f>
        <v>0</v>
      </c>
      <c r="O29" s="41" t="e">
        <f t="shared" si="12"/>
        <v>#DIV/0!</v>
      </c>
      <c r="P29" s="41" t="e">
        <f t="shared" si="10"/>
        <v>#DIV/0!</v>
      </c>
      <c r="Q29" s="8" t="e">
        <f>$P29*'Coût d''épandage ($ par h)'!F$6*'Coût d''épandage ($ par h)'!C$8/(2*(IF('Coût d''épandage ($ par h)'!C$27=0,'Coût d''épandage ($ par h)'!C$23,'Coût d''épandage ($ par h)'!C$27)))</f>
        <v>#DIV/0!</v>
      </c>
      <c r="R29" s="2" t="e">
        <f>60*P29*'Coût d''épandage ($ par h)'!C$8/(2*(IF('Coût d''épandage ($ par h)'!C$27=0,'Coût d''épandage ($ par h)'!C$23,'Coût d''épandage ($ par h)'!C$27)))</f>
        <v>#DIV/0!</v>
      </c>
    </row>
    <row r="30" spans="1:18" ht="12.75">
      <c r="A30">
        <v>80</v>
      </c>
      <c r="B30">
        <f t="shared" si="13"/>
        <v>0</v>
      </c>
      <c r="C30" s="41" t="e">
        <f t="shared" si="1"/>
        <v>#DIV/0!</v>
      </c>
      <c r="D30" s="4">
        <f t="shared" si="14"/>
        <v>0</v>
      </c>
      <c r="E30" s="41" t="e">
        <f t="shared" si="11"/>
        <v>#DIV/0!</v>
      </c>
      <c r="F30" s="4">
        <f t="shared" si="15"/>
        <v>0</v>
      </c>
      <c r="G30" s="41" t="e">
        <f t="shared" si="5"/>
        <v>#DIV/0!</v>
      </c>
      <c r="H30" s="4">
        <f>'Valeur du fumier'!$D$21</f>
        <v>0</v>
      </c>
      <c r="I30" s="41" t="e">
        <f t="shared" si="6"/>
        <v>#DIV/0!</v>
      </c>
      <c r="J30" s="4">
        <f>'Valeur du fumier'!$D$22</f>
        <v>0</v>
      </c>
      <c r="K30" s="41" t="e">
        <f t="shared" si="7"/>
        <v>#DIV/0!</v>
      </c>
      <c r="L30" s="4">
        <f>'Valeur du fumier'!$D$23</f>
        <v>0</v>
      </c>
      <c r="M30" s="41" t="e">
        <f t="shared" si="8"/>
        <v>#DIV/0!</v>
      </c>
      <c r="N30" s="4">
        <f>'Valeur du fumier'!$D$24</f>
        <v>0</v>
      </c>
      <c r="O30" s="41" t="e">
        <f t="shared" si="12"/>
        <v>#DIV/0!</v>
      </c>
      <c r="P30" s="41" t="e">
        <f t="shared" si="10"/>
        <v>#DIV/0!</v>
      </c>
      <c r="Q30" s="8" t="e">
        <f>$P30*'Coût d''épandage ($ par h)'!F$6*'Coût d''épandage ($ par h)'!C$8/(2*(IF('Coût d''épandage ($ par h)'!C$27=0,'Coût d''épandage ($ par h)'!C$23,'Coût d''épandage ($ par h)'!C$27)))</f>
        <v>#DIV/0!</v>
      </c>
      <c r="R30" s="2" t="e">
        <f>60*P30*'Coût d''épandage ($ par h)'!C$8/(2*(IF('Coût d''épandage ($ par h)'!C$27=0,'Coût d''épandage ($ par h)'!C$23,'Coût d''épandage ($ par h)'!C$27)))</f>
        <v>#DIV/0!</v>
      </c>
    </row>
    <row r="31" spans="1:18" ht="12.75">
      <c r="A31">
        <v>90</v>
      </c>
      <c r="B31">
        <f t="shared" si="13"/>
        <v>0</v>
      </c>
      <c r="C31" s="41" t="e">
        <f t="shared" si="1"/>
        <v>#DIV/0!</v>
      </c>
      <c r="D31" s="4">
        <f t="shared" si="14"/>
        <v>0</v>
      </c>
      <c r="E31" s="41" t="e">
        <f t="shared" si="11"/>
        <v>#DIV/0!</v>
      </c>
      <c r="F31" s="4">
        <f t="shared" si="15"/>
        <v>0</v>
      </c>
      <c r="G31" s="41" t="e">
        <f t="shared" si="5"/>
        <v>#DIV/0!</v>
      </c>
      <c r="H31" s="4">
        <f>'Valeur du fumier'!$D$21</f>
        <v>0</v>
      </c>
      <c r="I31" s="41" t="e">
        <f t="shared" si="6"/>
        <v>#DIV/0!</v>
      </c>
      <c r="J31" s="4">
        <f>'Valeur du fumier'!$D$22</f>
        <v>0</v>
      </c>
      <c r="K31" s="41" t="e">
        <f t="shared" si="7"/>
        <v>#DIV/0!</v>
      </c>
      <c r="L31" s="4">
        <f>'Valeur du fumier'!$D$23</f>
        <v>0</v>
      </c>
      <c r="M31" s="41" t="e">
        <f t="shared" si="8"/>
        <v>#DIV/0!</v>
      </c>
      <c r="N31" s="4">
        <f>'Valeur du fumier'!$D$24</f>
        <v>0</v>
      </c>
      <c r="O31" s="41" t="e">
        <f t="shared" si="12"/>
        <v>#DIV/0!</v>
      </c>
      <c r="P31" s="41" t="e">
        <f t="shared" si="10"/>
        <v>#DIV/0!</v>
      </c>
      <c r="Q31" s="8" t="e">
        <f>$P31*'Coût d''épandage ($ par h)'!F$6*'Coût d''épandage ($ par h)'!C$8/(2*(IF('Coût d''épandage ($ par h)'!C$27=0,'Coût d''épandage ($ par h)'!C$23,'Coût d''épandage ($ par h)'!C$27)))</f>
        <v>#DIV/0!</v>
      </c>
      <c r="R31" s="2" t="e">
        <f>60*P31*'Coût d''épandage ($ par h)'!C$8/(2*(IF('Coût d''épandage ($ par h)'!C$27=0,'Coût d''épandage ($ par h)'!C$23,'Coût d''épandage ($ par h)'!C$27)))</f>
        <v>#DIV/0!</v>
      </c>
    </row>
    <row r="32" spans="1:18" ht="12.75">
      <c r="A32">
        <v>100</v>
      </c>
      <c r="B32">
        <f t="shared" si="13"/>
        <v>0</v>
      </c>
      <c r="C32" s="41" t="e">
        <f t="shared" si="1"/>
        <v>#DIV/0!</v>
      </c>
      <c r="D32" s="4">
        <f t="shared" si="14"/>
        <v>0</v>
      </c>
      <c r="E32" s="41" t="e">
        <f t="shared" si="11"/>
        <v>#DIV/0!</v>
      </c>
      <c r="F32" s="4">
        <f t="shared" si="15"/>
        <v>0</v>
      </c>
      <c r="G32" s="41" t="e">
        <f t="shared" si="5"/>
        <v>#DIV/0!</v>
      </c>
      <c r="H32" s="4">
        <f>'Valeur du fumier'!$D$21</f>
        <v>0</v>
      </c>
      <c r="I32" s="41" t="e">
        <f t="shared" si="6"/>
        <v>#DIV/0!</v>
      </c>
      <c r="J32" s="4">
        <f>'Valeur du fumier'!$D$22</f>
        <v>0</v>
      </c>
      <c r="K32" s="41" t="e">
        <f t="shared" si="7"/>
        <v>#DIV/0!</v>
      </c>
      <c r="L32" s="4">
        <f>'Valeur du fumier'!$D$23</f>
        <v>0</v>
      </c>
      <c r="M32" s="41" t="e">
        <f t="shared" si="8"/>
        <v>#DIV/0!</v>
      </c>
      <c r="N32" s="4">
        <f>'Valeur du fumier'!$D$24</f>
        <v>0</v>
      </c>
      <c r="O32" s="41" t="e">
        <f t="shared" si="12"/>
        <v>#DIV/0!</v>
      </c>
      <c r="P32" s="41" t="e">
        <f t="shared" si="10"/>
        <v>#DIV/0!</v>
      </c>
      <c r="Q32" s="8" t="e">
        <f>$P32*'Coût d''épandage ($ par h)'!F$6*'Coût d''épandage ($ par h)'!C$8/(2*(IF('Coût d''épandage ($ par h)'!C$27=0,'Coût d''épandage ($ par h)'!C$23,'Coût d''épandage ($ par h)'!C$27)))</f>
        <v>#DIV/0!</v>
      </c>
      <c r="R32" s="2" t="e">
        <f>60*P32*'Coût d''épandage ($ par h)'!C$8/(2*(IF('Coût d''épandage ($ par h)'!C$27=0,'Coût d''épandage ($ par h)'!C$23,'Coût d''épandage ($ par h)'!C$27)))</f>
        <v>#DIV/0!</v>
      </c>
    </row>
    <row r="33" spans="1:18" ht="12.75">
      <c r="A33">
        <v>110</v>
      </c>
      <c r="B33">
        <f t="shared" si="13"/>
        <v>0</v>
      </c>
      <c r="C33" s="41" t="e">
        <f t="shared" si="1"/>
        <v>#DIV/0!</v>
      </c>
      <c r="D33" s="4">
        <f t="shared" si="14"/>
        <v>0</v>
      </c>
      <c r="E33" s="41" t="e">
        <f t="shared" si="11"/>
        <v>#DIV/0!</v>
      </c>
      <c r="F33" s="4">
        <f t="shared" si="15"/>
        <v>0</v>
      </c>
      <c r="G33" s="41" t="e">
        <f t="shared" si="5"/>
        <v>#DIV/0!</v>
      </c>
      <c r="H33" s="4">
        <f>'Valeur du fumier'!$D$21</f>
        <v>0</v>
      </c>
      <c r="I33" s="41" t="e">
        <f t="shared" si="6"/>
        <v>#DIV/0!</v>
      </c>
      <c r="J33" s="4">
        <f>'Valeur du fumier'!$D$22</f>
        <v>0</v>
      </c>
      <c r="K33" s="41" t="e">
        <f t="shared" si="7"/>
        <v>#DIV/0!</v>
      </c>
      <c r="L33" s="4">
        <f>'Valeur du fumier'!$D$23</f>
        <v>0</v>
      </c>
      <c r="M33" s="41" t="e">
        <f t="shared" si="8"/>
        <v>#DIV/0!</v>
      </c>
      <c r="N33" s="4">
        <f>'Valeur du fumier'!$D$24</f>
        <v>0</v>
      </c>
      <c r="O33" s="41" t="e">
        <f t="shared" si="12"/>
        <v>#DIV/0!</v>
      </c>
      <c r="P33" s="41" t="e">
        <f t="shared" si="10"/>
        <v>#DIV/0!</v>
      </c>
      <c r="Q33" s="8" t="e">
        <f>$P33*'Coût d''épandage ($ par h)'!F$6*'Coût d''épandage ($ par h)'!C$8/(2*(IF('Coût d''épandage ($ par h)'!C$27=0,'Coût d''épandage ($ par h)'!C$23,'Coût d''épandage ($ par h)'!C$27)))</f>
        <v>#DIV/0!</v>
      </c>
      <c r="R33" s="2" t="e">
        <f>60*P33*'Coût d''épandage ($ par h)'!C$8/(2*(IF('Coût d''épandage ($ par h)'!C$27=0,'Coût d''épandage ($ par h)'!C$23,'Coût d''épandage ($ par h)'!C$27)))</f>
        <v>#DIV/0!</v>
      </c>
    </row>
    <row r="34" spans="1:18" ht="12.75">
      <c r="A34">
        <v>120</v>
      </c>
      <c r="B34">
        <f t="shared" si="13"/>
        <v>0</v>
      </c>
      <c r="C34" s="41" t="e">
        <f t="shared" si="1"/>
        <v>#DIV/0!</v>
      </c>
      <c r="D34" s="4">
        <f t="shared" si="14"/>
        <v>0</v>
      </c>
      <c r="E34" s="41" t="e">
        <f t="shared" si="11"/>
        <v>#DIV/0!</v>
      </c>
      <c r="F34" s="4">
        <f t="shared" si="15"/>
        <v>0</v>
      </c>
      <c r="G34" s="41" t="e">
        <f t="shared" si="5"/>
        <v>#DIV/0!</v>
      </c>
      <c r="H34" s="4">
        <f>'Valeur du fumier'!$D$21</f>
        <v>0</v>
      </c>
      <c r="I34" s="41" t="e">
        <f t="shared" si="6"/>
        <v>#DIV/0!</v>
      </c>
      <c r="J34" s="4">
        <f>'Valeur du fumier'!$D$22</f>
        <v>0</v>
      </c>
      <c r="K34" s="41" t="e">
        <f t="shared" si="7"/>
        <v>#DIV/0!</v>
      </c>
      <c r="L34" s="4">
        <f>'Valeur du fumier'!$D$23</f>
        <v>0</v>
      </c>
      <c r="M34" s="41" t="e">
        <f t="shared" si="8"/>
        <v>#DIV/0!</v>
      </c>
      <c r="N34" s="4">
        <f>'Valeur du fumier'!$D$24</f>
        <v>0</v>
      </c>
      <c r="O34" s="41" t="e">
        <f t="shared" si="12"/>
        <v>#DIV/0!</v>
      </c>
      <c r="P34" s="41" t="e">
        <f t="shared" si="10"/>
        <v>#DIV/0!</v>
      </c>
      <c r="Q34" s="8" t="e">
        <f>$P34*'Coût d''épandage ($ par h)'!F$6*'Coût d''épandage ($ par h)'!C$8/(2*(IF('Coût d''épandage ($ par h)'!C$27=0,'Coût d''épandage ($ par h)'!C$23,'Coût d''épandage ($ par h)'!C$27)))</f>
        <v>#DIV/0!</v>
      </c>
      <c r="R34" s="2" t="e">
        <f>60*P34*'Coût d''épandage ($ par h)'!C$8/(2*(IF('Coût d''épandage ($ par h)'!C$27=0,'Coût d''épandage ($ par h)'!C$23,'Coût d''épandage ($ par h)'!C$27)))</f>
        <v>#DIV/0!</v>
      </c>
    </row>
    <row r="35" spans="1:18" ht="12.75">
      <c r="A35">
        <v>130</v>
      </c>
      <c r="B35">
        <f t="shared" si="13"/>
        <v>0</v>
      </c>
      <c r="C35" s="41" t="e">
        <f t="shared" si="1"/>
        <v>#DIV/0!</v>
      </c>
      <c r="D35" s="4">
        <f t="shared" si="14"/>
        <v>0</v>
      </c>
      <c r="E35" s="41" t="e">
        <f t="shared" si="11"/>
        <v>#DIV/0!</v>
      </c>
      <c r="F35" s="4">
        <f t="shared" si="15"/>
        <v>0</v>
      </c>
      <c r="G35" s="41" t="e">
        <f t="shared" si="5"/>
        <v>#DIV/0!</v>
      </c>
      <c r="H35" s="4">
        <f>'Valeur du fumier'!$D$21</f>
        <v>0</v>
      </c>
      <c r="I35" s="41" t="e">
        <f t="shared" si="6"/>
        <v>#DIV/0!</v>
      </c>
      <c r="J35" s="4">
        <f>'Valeur du fumier'!$D$22</f>
        <v>0</v>
      </c>
      <c r="K35" s="41" t="e">
        <f t="shared" si="7"/>
        <v>#DIV/0!</v>
      </c>
      <c r="L35" s="4">
        <f>'Valeur du fumier'!$D$23</f>
        <v>0</v>
      </c>
      <c r="M35" s="41" t="e">
        <f t="shared" si="8"/>
        <v>#DIV/0!</v>
      </c>
      <c r="N35" s="4">
        <f>'Valeur du fumier'!$D$24</f>
        <v>0</v>
      </c>
      <c r="O35" s="41" t="e">
        <f t="shared" si="12"/>
        <v>#DIV/0!</v>
      </c>
      <c r="P35" s="41" t="e">
        <f t="shared" si="10"/>
        <v>#DIV/0!</v>
      </c>
      <c r="Q35" s="8" t="e">
        <f>$P35*'Coût d''épandage ($ par h)'!F$6*'Coût d''épandage ($ par h)'!C$8/(2*(IF('Coût d''épandage ($ par h)'!C$27=0,'Coût d''épandage ($ par h)'!C$23,'Coût d''épandage ($ par h)'!C$27)))</f>
        <v>#DIV/0!</v>
      </c>
      <c r="R35" s="2" t="e">
        <f>60*P35*'Coût d''épandage ($ par h)'!C$8/(2*(IF('Coût d''épandage ($ par h)'!C$27=0,'Coût d''épandage ($ par h)'!C$23,'Coût d''épandage ($ par h)'!C$27)))</f>
        <v>#DIV/0!</v>
      </c>
    </row>
    <row r="36" spans="1:18" ht="12.75">
      <c r="A36">
        <v>140</v>
      </c>
      <c r="B36">
        <f t="shared" si="13"/>
        <v>0</v>
      </c>
      <c r="C36" s="41" t="e">
        <f t="shared" si="1"/>
        <v>#DIV/0!</v>
      </c>
      <c r="D36" s="4">
        <f t="shared" si="14"/>
        <v>0</v>
      </c>
      <c r="E36" s="41" t="e">
        <f t="shared" si="11"/>
        <v>#DIV/0!</v>
      </c>
      <c r="F36" s="4">
        <f t="shared" si="15"/>
        <v>0</v>
      </c>
      <c r="G36" s="41" t="e">
        <f t="shared" si="5"/>
        <v>#DIV/0!</v>
      </c>
      <c r="H36" s="4">
        <f>'Valeur du fumier'!$D$21</f>
        <v>0</v>
      </c>
      <c r="I36" s="41" t="e">
        <f t="shared" si="6"/>
        <v>#DIV/0!</v>
      </c>
      <c r="J36" s="4">
        <f>'Valeur du fumier'!$D$22</f>
        <v>0</v>
      </c>
      <c r="K36" s="41" t="e">
        <f t="shared" si="7"/>
        <v>#DIV/0!</v>
      </c>
      <c r="L36" s="4">
        <f>'Valeur du fumier'!$D$23</f>
        <v>0</v>
      </c>
      <c r="M36" s="41" t="e">
        <f t="shared" si="8"/>
        <v>#DIV/0!</v>
      </c>
      <c r="N36" s="4">
        <f>'Valeur du fumier'!$D$24</f>
        <v>0</v>
      </c>
      <c r="O36" s="41" t="e">
        <f t="shared" si="12"/>
        <v>#DIV/0!</v>
      </c>
      <c r="P36" s="41" t="e">
        <f t="shared" si="10"/>
        <v>#DIV/0!</v>
      </c>
      <c r="Q36" s="8" t="e">
        <f>$P36*'Coût d''épandage ($ par h)'!F$6*'Coût d''épandage ($ par h)'!C$8/(2*(IF('Coût d''épandage ($ par h)'!C$27=0,'Coût d''épandage ($ par h)'!C$23,'Coût d''épandage ($ par h)'!C$27)))</f>
        <v>#DIV/0!</v>
      </c>
      <c r="R36" s="2" t="e">
        <f>60*P36*'Coût d''épandage ($ par h)'!C$8/(2*(IF('Coût d''épandage ($ par h)'!C$27=0,'Coût d''épandage ($ par h)'!C$23,'Coût d''épandage ($ par h)'!C$27)))</f>
        <v>#DIV/0!</v>
      </c>
    </row>
    <row r="37" spans="1:18" ht="12.75">
      <c r="A37">
        <v>150</v>
      </c>
      <c r="B37">
        <f t="shared" si="13"/>
        <v>0</v>
      </c>
      <c r="C37" s="41" t="e">
        <f t="shared" si="1"/>
        <v>#DIV/0!</v>
      </c>
      <c r="D37" s="4">
        <f t="shared" si="14"/>
        <v>0</v>
      </c>
      <c r="E37" s="41" t="e">
        <f t="shared" si="11"/>
        <v>#DIV/0!</v>
      </c>
      <c r="F37" s="4">
        <f t="shared" si="15"/>
        <v>0</v>
      </c>
      <c r="G37" s="41" t="e">
        <f t="shared" si="5"/>
        <v>#DIV/0!</v>
      </c>
      <c r="H37" s="4">
        <f>'Valeur du fumier'!$D$21</f>
        <v>0</v>
      </c>
      <c r="I37" s="41" t="e">
        <f t="shared" si="6"/>
        <v>#DIV/0!</v>
      </c>
      <c r="J37" s="4">
        <f>'Valeur du fumier'!$D$22</f>
        <v>0</v>
      </c>
      <c r="K37" s="41" t="e">
        <f t="shared" si="7"/>
        <v>#DIV/0!</v>
      </c>
      <c r="L37" s="4">
        <f>'Valeur du fumier'!$D$23</f>
        <v>0</v>
      </c>
      <c r="M37" s="41" t="e">
        <f t="shared" si="8"/>
        <v>#DIV/0!</v>
      </c>
      <c r="N37" s="4">
        <f>'Valeur du fumier'!$D$24</f>
        <v>0</v>
      </c>
      <c r="O37" s="41" t="e">
        <f t="shared" si="12"/>
        <v>#DIV/0!</v>
      </c>
      <c r="P37" s="41" t="e">
        <f t="shared" si="10"/>
        <v>#DIV/0!</v>
      </c>
      <c r="Q37" s="8" t="e">
        <f>$P37*'Coût d''épandage ($ par h)'!F$6*'Coût d''épandage ($ par h)'!C$8/(2*(IF('Coût d''épandage ($ par h)'!C$27=0,'Coût d''épandage ($ par h)'!C$23,'Coût d''épandage ($ par h)'!C$27)))</f>
        <v>#DIV/0!</v>
      </c>
      <c r="R37" s="2" t="e">
        <f>60*P37*'Coût d''épandage ($ par h)'!C$8/(2*(IF('Coût d''épandage ($ par h)'!C$27=0,'Coût d''épandage ($ par h)'!C$23,'Coût d''épandage ($ par h)'!C$27)))</f>
        <v>#DIV/0!</v>
      </c>
    </row>
    <row r="38" spans="1:18" ht="12.75">
      <c r="A38">
        <v>160</v>
      </c>
      <c r="B38">
        <f t="shared" si="13"/>
        <v>0</v>
      </c>
      <c r="C38" s="41" t="e">
        <f t="shared" si="1"/>
        <v>#DIV/0!</v>
      </c>
      <c r="D38" s="4">
        <f t="shared" si="14"/>
        <v>0</v>
      </c>
      <c r="E38" s="41" t="e">
        <f t="shared" si="11"/>
        <v>#DIV/0!</v>
      </c>
      <c r="F38" s="4">
        <f t="shared" si="15"/>
        <v>0</v>
      </c>
      <c r="G38" s="41" t="e">
        <f t="shared" si="5"/>
        <v>#DIV/0!</v>
      </c>
      <c r="H38" s="4">
        <f>'Valeur du fumier'!$D$21</f>
        <v>0</v>
      </c>
      <c r="I38" s="41" t="e">
        <f t="shared" si="6"/>
        <v>#DIV/0!</v>
      </c>
      <c r="J38" s="4">
        <f>'Valeur du fumier'!$D$22</f>
        <v>0</v>
      </c>
      <c r="K38" s="41" t="e">
        <f t="shared" si="7"/>
        <v>#DIV/0!</v>
      </c>
      <c r="L38" s="4">
        <f>'Valeur du fumier'!$D$23</f>
        <v>0</v>
      </c>
      <c r="M38" s="41" t="e">
        <f t="shared" si="8"/>
        <v>#DIV/0!</v>
      </c>
      <c r="N38" s="4">
        <f>'Valeur du fumier'!$D$24</f>
        <v>0</v>
      </c>
      <c r="O38" s="41" t="e">
        <f t="shared" si="12"/>
        <v>#DIV/0!</v>
      </c>
      <c r="P38" s="41" t="e">
        <f t="shared" si="10"/>
        <v>#DIV/0!</v>
      </c>
      <c r="Q38" s="8" t="e">
        <f>$P38*'Coût d''épandage ($ par h)'!F$6*'Coût d''épandage ($ par h)'!C$8/(2*(IF('Coût d''épandage ($ par h)'!C$27=0,'Coût d''épandage ($ par h)'!C$23,'Coût d''épandage ($ par h)'!C$27)))</f>
        <v>#DIV/0!</v>
      </c>
      <c r="R38" s="2" t="e">
        <f>60*P38*'Coût d''épandage ($ par h)'!C$8/(2*(IF('Coût d''épandage ($ par h)'!C$27=0,'Coût d''épandage ($ par h)'!C$23,'Coût d''épandage ($ par h)'!C$27)))</f>
        <v>#DIV/0!</v>
      </c>
    </row>
    <row r="39" spans="1:18" ht="12.75">
      <c r="A39">
        <v>170</v>
      </c>
      <c r="B39">
        <f t="shared" si="13"/>
        <v>0</v>
      </c>
      <c r="C39" s="41" t="e">
        <f t="shared" si="1"/>
        <v>#DIV/0!</v>
      </c>
      <c r="D39" s="4">
        <f t="shared" si="14"/>
        <v>0</v>
      </c>
      <c r="E39" s="41" t="e">
        <f t="shared" si="11"/>
        <v>#DIV/0!</v>
      </c>
      <c r="F39" s="4">
        <f t="shared" si="15"/>
        <v>0</v>
      </c>
      <c r="G39" s="41" t="e">
        <f t="shared" si="5"/>
        <v>#DIV/0!</v>
      </c>
      <c r="H39" s="4">
        <f>'Valeur du fumier'!$D$21</f>
        <v>0</v>
      </c>
      <c r="I39" s="41" t="e">
        <f t="shared" si="6"/>
        <v>#DIV/0!</v>
      </c>
      <c r="J39" s="4">
        <f>'Valeur du fumier'!$D$22</f>
        <v>0</v>
      </c>
      <c r="K39" s="41" t="e">
        <f t="shared" si="7"/>
        <v>#DIV/0!</v>
      </c>
      <c r="L39" s="4">
        <f>'Valeur du fumier'!$D$23</f>
        <v>0</v>
      </c>
      <c r="M39" s="41" t="e">
        <f t="shared" si="8"/>
        <v>#DIV/0!</v>
      </c>
      <c r="N39" s="4">
        <f>'Valeur du fumier'!$D$24</f>
        <v>0</v>
      </c>
      <c r="O39" s="41" t="e">
        <f t="shared" si="12"/>
        <v>#DIV/0!</v>
      </c>
      <c r="P39" s="41" t="e">
        <f t="shared" si="10"/>
        <v>#DIV/0!</v>
      </c>
      <c r="Q39" s="8" t="e">
        <f>$P39*'Coût d''épandage ($ par h)'!F$6*'Coût d''épandage ($ par h)'!C$8/(2*(IF('Coût d''épandage ($ par h)'!C$27=0,'Coût d''épandage ($ par h)'!C$23,'Coût d''épandage ($ par h)'!C$27)))</f>
        <v>#DIV/0!</v>
      </c>
      <c r="R39" s="2" t="e">
        <f>60*P39*'Coût d''épandage ($ par h)'!C$8/(2*(IF('Coût d''épandage ($ par h)'!C$27=0,'Coût d''épandage ($ par h)'!C$23,'Coût d''épandage ($ par h)'!C$27)))</f>
        <v>#DIV/0!</v>
      </c>
    </row>
    <row r="40" spans="1:18" ht="12.75">
      <c r="A40">
        <v>180</v>
      </c>
      <c r="B40">
        <f t="shared" si="13"/>
        <v>0</v>
      </c>
      <c r="C40" s="41" t="e">
        <f t="shared" si="1"/>
        <v>#DIV/0!</v>
      </c>
      <c r="D40" s="4">
        <f t="shared" si="14"/>
        <v>0</v>
      </c>
      <c r="E40" s="41" t="e">
        <f t="shared" si="11"/>
        <v>#DIV/0!</v>
      </c>
      <c r="F40" s="4">
        <f t="shared" si="15"/>
        <v>0</v>
      </c>
      <c r="G40" s="41" t="e">
        <f t="shared" si="5"/>
        <v>#DIV/0!</v>
      </c>
      <c r="H40" s="4">
        <f>'Valeur du fumier'!$D$21</f>
        <v>0</v>
      </c>
      <c r="I40" s="41" t="e">
        <f t="shared" si="6"/>
        <v>#DIV/0!</v>
      </c>
      <c r="J40" s="4">
        <f>'Valeur du fumier'!$D$22</f>
        <v>0</v>
      </c>
      <c r="K40" s="41" t="e">
        <f t="shared" si="7"/>
        <v>#DIV/0!</v>
      </c>
      <c r="L40" s="4">
        <f>'Valeur du fumier'!$D$23</f>
        <v>0</v>
      </c>
      <c r="M40" s="41" t="e">
        <f t="shared" si="8"/>
        <v>#DIV/0!</v>
      </c>
      <c r="N40" s="4">
        <f>'Valeur du fumier'!$D$24</f>
        <v>0</v>
      </c>
      <c r="O40" s="41" t="e">
        <f t="shared" si="12"/>
        <v>#DIV/0!</v>
      </c>
      <c r="P40" s="41" t="e">
        <f t="shared" si="10"/>
        <v>#DIV/0!</v>
      </c>
      <c r="Q40" s="8" t="e">
        <f>$P40*'Coût d''épandage ($ par h)'!F$6*'Coût d''épandage ($ par h)'!C$8/(2*(IF('Coût d''épandage ($ par h)'!C$27=0,'Coût d''épandage ($ par h)'!C$23,'Coût d''épandage ($ par h)'!C$27)))</f>
        <v>#DIV/0!</v>
      </c>
      <c r="R40" s="2" t="e">
        <f>60*P40*'Coût d''épandage ($ par h)'!C$8/(2*(IF('Coût d''épandage ($ par h)'!C$27=0,'Coût d''épandage ($ par h)'!C$23,'Coût d''épandage ($ par h)'!C$27)))</f>
        <v>#DIV/0!</v>
      </c>
    </row>
    <row r="41" spans="1:18" ht="12.75">
      <c r="A41">
        <v>190</v>
      </c>
      <c r="B41">
        <f t="shared" si="13"/>
        <v>0</v>
      </c>
      <c r="C41" s="41" t="e">
        <f t="shared" si="1"/>
        <v>#DIV/0!</v>
      </c>
      <c r="D41" s="4">
        <f t="shared" si="14"/>
        <v>0</v>
      </c>
      <c r="E41" s="41" t="e">
        <f t="shared" si="11"/>
        <v>#DIV/0!</v>
      </c>
      <c r="F41" s="4">
        <f t="shared" si="15"/>
        <v>0</v>
      </c>
      <c r="G41" s="41" t="e">
        <f t="shared" si="5"/>
        <v>#DIV/0!</v>
      </c>
      <c r="H41" s="4">
        <f>'Valeur du fumier'!$D$21</f>
        <v>0</v>
      </c>
      <c r="I41" s="41" t="e">
        <f t="shared" si="6"/>
        <v>#DIV/0!</v>
      </c>
      <c r="J41" s="4">
        <f>'Valeur du fumier'!$D$22</f>
        <v>0</v>
      </c>
      <c r="K41" s="41" t="e">
        <f t="shared" si="7"/>
        <v>#DIV/0!</v>
      </c>
      <c r="L41" s="4">
        <f>'Valeur du fumier'!$D$23</f>
        <v>0</v>
      </c>
      <c r="M41" s="41" t="e">
        <f t="shared" si="8"/>
        <v>#DIV/0!</v>
      </c>
      <c r="N41" s="4">
        <f>'Valeur du fumier'!$D$24</f>
        <v>0</v>
      </c>
      <c r="O41" s="41" t="e">
        <f t="shared" si="12"/>
        <v>#DIV/0!</v>
      </c>
      <c r="P41" s="41" t="e">
        <f t="shared" si="10"/>
        <v>#DIV/0!</v>
      </c>
      <c r="Q41" s="8" t="e">
        <f>$P41*'Coût d''épandage ($ par h)'!F$6*'Coût d''épandage ($ par h)'!C$8/(2*(IF('Coût d''épandage ($ par h)'!C$27=0,'Coût d''épandage ($ par h)'!C$23,'Coût d''épandage ($ par h)'!C$27)))</f>
        <v>#DIV/0!</v>
      </c>
      <c r="R41" s="2" t="e">
        <f>60*P41*'Coût d''épandage ($ par h)'!C$8/(2*(IF('Coût d''épandage ($ par h)'!C$27=0,'Coût d''épandage ($ par h)'!C$23,'Coût d''épandage ($ par h)'!C$27)))</f>
        <v>#DIV/0!</v>
      </c>
    </row>
    <row r="42" spans="1:18" ht="12.75">
      <c r="A42">
        <v>200</v>
      </c>
      <c r="B42">
        <f t="shared" si="13"/>
        <v>0</v>
      </c>
      <c r="C42" s="41" t="e">
        <f t="shared" si="1"/>
        <v>#DIV/0!</v>
      </c>
      <c r="D42" s="4">
        <f t="shared" si="14"/>
        <v>0</v>
      </c>
      <c r="E42" s="41" t="e">
        <f t="shared" si="11"/>
        <v>#DIV/0!</v>
      </c>
      <c r="F42" s="4">
        <f t="shared" si="15"/>
        <v>0</v>
      </c>
      <c r="G42" s="41" t="e">
        <f t="shared" si="5"/>
        <v>#DIV/0!</v>
      </c>
      <c r="H42" s="4">
        <f>'Valeur du fumier'!$D$21</f>
        <v>0</v>
      </c>
      <c r="I42" s="41" t="e">
        <f t="shared" si="6"/>
        <v>#DIV/0!</v>
      </c>
      <c r="J42" s="4">
        <f>'Valeur du fumier'!$D$22</f>
        <v>0</v>
      </c>
      <c r="K42" s="41" t="e">
        <f t="shared" si="7"/>
        <v>#DIV/0!</v>
      </c>
      <c r="L42" s="4">
        <f>'Valeur du fumier'!$D$23</f>
        <v>0</v>
      </c>
      <c r="M42" s="41" t="e">
        <f t="shared" si="8"/>
        <v>#DIV/0!</v>
      </c>
      <c r="N42" s="4">
        <f>'Valeur du fumier'!$D$24</f>
        <v>0</v>
      </c>
      <c r="O42" s="41" t="e">
        <f t="shared" si="12"/>
        <v>#DIV/0!</v>
      </c>
      <c r="P42" s="41" t="e">
        <f t="shared" si="10"/>
        <v>#DIV/0!</v>
      </c>
      <c r="Q42" s="8" t="e">
        <f>$P42*'Coût d''épandage ($ par h)'!F$6*'Coût d''épandage ($ par h)'!C$8/(2*(IF('Coût d''épandage ($ par h)'!C$27=0,'Coût d''épandage ($ par h)'!C$23,'Coût d''épandage ($ par h)'!C$27)))</f>
        <v>#DIV/0!</v>
      </c>
      <c r="R42" s="2" t="e">
        <f>60*P42*'Coût d''épandage ($ par h)'!C$8/(2*(IF('Coût d''épandage ($ par h)'!C$27=0,'Coût d''épandage ($ par h)'!C$23,'Coût d''épandage ($ par h)'!C$27)))</f>
        <v>#DIV/0!</v>
      </c>
    </row>
    <row r="43" spans="3:16" ht="12.75">
      <c r="C43" s="4"/>
      <c r="D43" s="4"/>
      <c r="E43" s="4"/>
      <c r="F43" s="4"/>
      <c r="G43" s="41"/>
      <c r="H43" s="4"/>
      <c r="I43" s="4"/>
      <c r="J43" s="4"/>
      <c r="K43" s="4"/>
      <c r="L43" s="4"/>
      <c r="M43" s="4"/>
      <c r="N43" s="4"/>
      <c r="O43" s="4"/>
      <c r="P43" s="4"/>
    </row>
  </sheetData>
  <sheetProtection sheet="1" objects="1" scenarios="1"/>
  <mergeCells count="2">
    <mergeCell ref="G2:K2"/>
    <mergeCell ref="A2:E2"/>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B19" sqref="B19:C19"/>
    </sheetView>
  </sheetViews>
  <sheetFormatPr defaultColWidth="9.140625" defaultRowHeight="12.75"/>
  <cols>
    <col min="2" max="2" width="16.57421875" style="0" bestFit="1" customWidth="1"/>
    <col min="3" max="3" width="8.8515625" style="0" customWidth="1"/>
    <col min="4" max="4" width="13.00390625" style="0" customWidth="1"/>
    <col min="5" max="5" width="13.7109375" style="0" bestFit="1" customWidth="1"/>
  </cols>
  <sheetData>
    <row r="1" spans="2:5" ht="12.75">
      <c r="B1" s="12" t="s">
        <v>27</v>
      </c>
      <c r="C1" s="12" t="s">
        <v>29</v>
      </c>
      <c r="D1" s="12" t="s">
        <v>30</v>
      </c>
      <c r="E1" s="12" t="s">
        <v>32</v>
      </c>
    </row>
    <row r="2" spans="2:5" ht="12.75">
      <c r="B2" s="12" t="s">
        <v>28</v>
      </c>
      <c r="C2" s="12" t="s">
        <v>39</v>
      </c>
      <c r="D2" s="12" t="s">
        <v>31</v>
      </c>
      <c r="E2" s="12" t="s">
        <v>33</v>
      </c>
    </row>
    <row r="3" spans="1:5" ht="12.75">
      <c r="A3">
        <v>-50</v>
      </c>
      <c r="B3" s="1" t="e">
        <f aca="true" t="shared" si="0" ref="B3:B11">B$13+A3</f>
        <v>#DIV/0!</v>
      </c>
      <c r="C3" s="1" t="e">
        <f>'Valeur du fumier'!$E$25</f>
        <v>#DIV/0!</v>
      </c>
      <c r="D3" s="30" t="e">
        <f>$C3*'Coût d''épandage ($ par h)'!F$6*'Coût d''épandage ($ par h)'!C$8/(2*B3)</f>
        <v>#DIV/0!</v>
      </c>
      <c r="E3" s="31" t="e">
        <f>60*$C3*'Coût d''épandage ($ par h)'!C$8/(2*B3)</f>
        <v>#DIV/0!</v>
      </c>
    </row>
    <row r="4" spans="1:5" ht="12.75">
      <c r="A4">
        <v>-45</v>
      </c>
      <c r="B4" s="1" t="e">
        <f t="shared" si="0"/>
        <v>#DIV/0!</v>
      </c>
      <c r="C4" s="1" t="e">
        <f>'Valeur du fumier'!$E$25</f>
        <v>#DIV/0!</v>
      </c>
      <c r="D4" s="30" t="e">
        <f>$C4*'Coût d''épandage ($ par h)'!F$6*'Coût d''épandage ($ par h)'!C$8/(2*B4)</f>
        <v>#DIV/0!</v>
      </c>
      <c r="E4" s="31" t="e">
        <f>60*$C4*'Coût d''épandage ($ par h)'!C$8/(2*B4)</f>
        <v>#DIV/0!</v>
      </c>
    </row>
    <row r="5" spans="1:5" ht="12.75">
      <c r="A5">
        <v>-40</v>
      </c>
      <c r="B5" s="1" t="e">
        <f t="shared" si="0"/>
        <v>#DIV/0!</v>
      </c>
      <c r="C5" s="1" t="e">
        <f>'Valeur du fumier'!$E$25</f>
        <v>#DIV/0!</v>
      </c>
      <c r="D5" s="30" t="e">
        <f>$C5*'Coût d''épandage ($ par h)'!F$6*'Coût d''épandage ($ par h)'!C$8/(2*B5)</f>
        <v>#DIV/0!</v>
      </c>
      <c r="E5" s="31" t="e">
        <f>60*$C5*'Coût d''épandage ($ par h)'!C$8/(2*B5)</f>
        <v>#DIV/0!</v>
      </c>
    </row>
    <row r="6" spans="1:5" ht="12.75">
      <c r="A6">
        <v>-35</v>
      </c>
      <c r="B6" s="1" t="e">
        <f t="shared" si="0"/>
        <v>#DIV/0!</v>
      </c>
      <c r="C6" s="1" t="e">
        <f>'Valeur du fumier'!$E$25</f>
        <v>#DIV/0!</v>
      </c>
      <c r="D6" s="30" t="e">
        <f>$C6*'Coût d''épandage ($ par h)'!F$6*'Coût d''épandage ($ par h)'!C$8/(2*B6)</f>
        <v>#DIV/0!</v>
      </c>
      <c r="E6" s="31" t="e">
        <f>60*$C6*'Coût d''épandage ($ par h)'!C$8/(2*B6)</f>
        <v>#DIV/0!</v>
      </c>
    </row>
    <row r="7" spans="1:5" ht="12.75">
      <c r="A7">
        <v>-30</v>
      </c>
      <c r="B7" s="1" t="e">
        <f t="shared" si="0"/>
        <v>#DIV/0!</v>
      </c>
      <c r="C7" s="1" t="e">
        <f>'Valeur du fumier'!$E$25</f>
        <v>#DIV/0!</v>
      </c>
      <c r="D7" s="30" t="e">
        <f>$C7*'Coût d''épandage ($ par h)'!F$6*'Coût d''épandage ($ par h)'!C$8/(2*B7)</f>
        <v>#DIV/0!</v>
      </c>
      <c r="E7" s="31" t="e">
        <f>60*$C7*'Coût d''épandage ($ par h)'!C$8/(2*B7)</f>
        <v>#DIV/0!</v>
      </c>
    </row>
    <row r="8" spans="1:5" ht="12.75">
      <c r="A8">
        <v>-25</v>
      </c>
      <c r="B8" s="1" t="e">
        <f t="shared" si="0"/>
        <v>#DIV/0!</v>
      </c>
      <c r="C8" s="1" t="e">
        <f>'Valeur du fumier'!$E$25</f>
        <v>#DIV/0!</v>
      </c>
      <c r="D8" s="30" t="e">
        <f>$C8*'Coût d''épandage ($ par h)'!F$6*'Coût d''épandage ($ par h)'!C$8/(2*B8)</f>
        <v>#DIV/0!</v>
      </c>
      <c r="E8" s="31" t="e">
        <f>60*$C8*'Coût d''épandage ($ par h)'!C$8/(2*B8)</f>
        <v>#DIV/0!</v>
      </c>
    </row>
    <row r="9" spans="1:5" ht="12.75">
      <c r="A9">
        <v>-20</v>
      </c>
      <c r="B9" s="1" t="e">
        <f t="shared" si="0"/>
        <v>#DIV/0!</v>
      </c>
      <c r="C9" s="1" t="e">
        <f>'Valeur du fumier'!$E$25</f>
        <v>#DIV/0!</v>
      </c>
      <c r="D9" s="30" t="e">
        <f>$C9*'Coût d''épandage ($ par h)'!F$6*'Coût d''épandage ($ par h)'!C$8/(2*B9)</f>
        <v>#DIV/0!</v>
      </c>
      <c r="E9" s="31" t="e">
        <f>60*$C9*'Coût d''épandage ($ par h)'!C$8/(2*B9)</f>
        <v>#DIV/0!</v>
      </c>
    </row>
    <row r="10" spans="1:5" ht="12.75">
      <c r="A10">
        <v>-15</v>
      </c>
      <c r="B10" s="1" t="e">
        <f t="shared" si="0"/>
        <v>#DIV/0!</v>
      </c>
      <c r="C10" s="1" t="e">
        <f>'Valeur du fumier'!$E$25</f>
        <v>#DIV/0!</v>
      </c>
      <c r="D10" s="30" t="e">
        <f>$C10*'Coût d''épandage ($ par h)'!F$6*'Coût d''épandage ($ par h)'!C$8/(2*B10)</f>
        <v>#DIV/0!</v>
      </c>
      <c r="E10" s="31" t="e">
        <f>60*$C10*'Coût d''épandage ($ par h)'!C$8/(2*B10)</f>
        <v>#DIV/0!</v>
      </c>
    </row>
    <row r="11" spans="1:5" ht="12.75">
      <c r="A11">
        <v>-10</v>
      </c>
      <c r="B11" s="1" t="e">
        <f t="shared" si="0"/>
        <v>#DIV/0!</v>
      </c>
      <c r="C11" s="1" t="e">
        <f>'Valeur du fumier'!$E$25</f>
        <v>#DIV/0!</v>
      </c>
      <c r="D11" s="30" t="e">
        <f>$C11*'Coût d''épandage ($ par h)'!F$6*'Coût d''épandage ($ par h)'!C$8/(2*B11)</f>
        <v>#DIV/0!</v>
      </c>
      <c r="E11" s="31" t="e">
        <f>60*$C11*'Coût d''épandage ($ par h)'!C$8/(2*B11)</f>
        <v>#DIV/0!</v>
      </c>
    </row>
    <row r="12" spans="1:5" ht="12.75">
      <c r="A12">
        <v>-5</v>
      </c>
      <c r="B12" s="1" t="e">
        <f>B$13+A12</f>
        <v>#DIV/0!</v>
      </c>
      <c r="C12" s="1" t="e">
        <f>'Valeur du fumier'!$E$25</f>
        <v>#DIV/0!</v>
      </c>
      <c r="D12" s="30" t="e">
        <f>$C12*'Coût d''épandage ($ par h)'!F$6*'Coût d''épandage ($ par h)'!C$8/(2*B12)</f>
        <v>#DIV/0!</v>
      </c>
      <c r="E12" s="31" t="e">
        <f>60*$C12*'Coût d''épandage ($ par h)'!C$8/(2*B12)</f>
        <v>#DIV/0!</v>
      </c>
    </row>
    <row r="13" spans="1:6" ht="12.75">
      <c r="A13" s="6">
        <v>0</v>
      </c>
      <c r="B13" s="7" t="e">
        <f>ROUND((IF('Coût d''épandage ($ par h)'!C$27=0,'Coût d''épandage ($ par h)'!C$23,'Coût d''épandage ($ par h)'!C$27)),0)</f>
        <v>#DIV/0!</v>
      </c>
      <c r="C13" s="7" t="e">
        <f>'Valeur du fumier'!$E$25</f>
        <v>#DIV/0!</v>
      </c>
      <c r="D13" s="70" t="e">
        <f>$C13*'Coût d''épandage ($ par h)'!F$6*'Coût d''épandage ($ par h)'!C$8/(2*B13)</f>
        <v>#DIV/0!</v>
      </c>
      <c r="E13" s="71" t="e">
        <f>60*$C13*'Coût d''épandage ($ par h)'!C$8/(2*B13)</f>
        <v>#DIV/0!</v>
      </c>
      <c r="F13" s="2"/>
    </row>
    <row r="14" spans="1:5" ht="12.75">
      <c r="A14">
        <v>5</v>
      </c>
      <c r="B14" s="1" t="e">
        <f>B$13+A14</f>
        <v>#DIV/0!</v>
      </c>
      <c r="C14" s="1" t="e">
        <f>'Valeur du fumier'!$E$25</f>
        <v>#DIV/0!</v>
      </c>
      <c r="D14" s="30" t="e">
        <f>$C14*'Coût d''épandage ($ par h)'!F$6*'Coût d''épandage ($ par h)'!C$8/(2*B14)</f>
        <v>#DIV/0!</v>
      </c>
      <c r="E14" s="31" t="e">
        <f>60*$C14*'Coût d''épandage ($ par h)'!C$8/(2*B14)</f>
        <v>#DIV/0!</v>
      </c>
    </row>
    <row r="15" spans="1:5" ht="12.75">
      <c r="A15">
        <v>10</v>
      </c>
      <c r="B15" s="1" t="e">
        <f aca="true" t="shared" si="1" ref="B15:B23">B$13+A15</f>
        <v>#DIV/0!</v>
      </c>
      <c r="C15" s="1" t="e">
        <f>'Valeur du fumier'!$E$25</f>
        <v>#DIV/0!</v>
      </c>
      <c r="D15" s="30" t="e">
        <f>$C15*'Coût d''épandage ($ par h)'!F$6*'Coût d''épandage ($ par h)'!C$8/(2*B15)</f>
        <v>#DIV/0!</v>
      </c>
      <c r="E15" s="31" t="e">
        <f>60*$C15*'Coût d''épandage ($ par h)'!C$8/(2*B15)</f>
        <v>#DIV/0!</v>
      </c>
    </row>
    <row r="16" spans="1:5" ht="12.75">
      <c r="A16">
        <v>15</v>
      </c>
      <c r="B16" s="1" t="e">
        <f t="shared" si="1"/>
        <v>#DIV/0!</v>
      </c>
      <c r="C16" s="1" t="e">
        <f>'Valeur du fumier'!$E$25</f>
        <v>#DIV/0!</v>
      </c>
      <c r="D16" s="30" t="e">
        <f>$C16*'Coût d''épandage ($ par h)'!F$6*'Coût d''épandage ($ par h)'!C$8/(2*B16)</f>
        <v>#DIV/0!</v>
      </c>
      <c r="E16" s="31" t="e">
        <f>60*$C16*'Coût d''épandage ($ par h)'!C$8/(2*B16)</f>
        <v>#DIV/0!</v>
      </c>
    </row>
    <row r="17" spans="1:5" ht="12.75">
      <c r="A17">
        <v>20</v>
      </c>
      <c r="B17" s="1" t="e">
        <f t="shared" si="1"/>
        <v>#DIV/0!</v>
      </c>
      <c r="C17" s="1" t="e">
        <f>'Valeur du fumier'!$E$25</f>
        <v>#DIV/0!</v>
      </c>
      <c r="D17" s="30" t="e">
        <f>$C17*'Coût d''épandage ($ par h)'!F$6*'Coût d''épandage ($ par h)'!C$8/(2*B17)</f>
        <v>#DIV/0!</v>
      </c>
      <c r="E17" s="31" t="e">
        <f>60*$C17*'Coût d''épandage ($ par h)'!C$8/(2*B17)</f>
        <v>#DIV/0!</v>
      </c>
    </row>
    <row r="18" spans="1:5" ht="12.75">
      <c r="A18">
        <v>25</v>
      </c>
      <c r="B18" s="1" t="e">
        <f t="shared" si="1"/>
        <v>#DIV/0!</v>
      </c>
      <c r="C18" s="1" t="e">
        <f>'Valeur du fumier'!$E$25</f>
        <v>#DIV/0!</v>
      </c>
      <c r="D18" s="30" t="e">
        <f>$C18*'Coût d''épandage ($ par h)'!F$6*'Coût d''épandage ($ par h)'!C$8/(2*B18)</f>
        <v>#DIV/0!</v>
      </c>
      <c r="E18" s="31" t="e">
        <f>60*$C18*'Coût d''épandage ($ par h)'!C$8/(2*B18)</f>
        <v>#DIV/0!</v>
      </c>
    </row>
    <row r="19" spans="1:5" ht="12.75">
      <c r="A19">
        <v>30</v>
      </c>
      <c r="B19" s="1" t="e">
        <f t="shared" si="1"/>
        <v>#DIV/0!</v>
      </c>
      <c r="C19" s="1" t="e">
        <f>'Valeur du fumier'!$E$25</f>
        <v>#DIV/0!</v>
      </c>
      <c r="D19" s="30" t="e">
        <f>$C19*'Coût d''épandage ($ par h)'!F$6*'Coût d''épandage ($ par h)'!C$8/(2*B19)</f>
        <v>#DIV/0!</v>
      </c>
      <c r="E19" s="31" t="e">
        <f>60*$C19*'Coût d''épandage ($ par h)'!C$8/(2*B19)</f>
        <v>#DIV/0!</v>
      </c>
    </row>
    <row r="20" spans="1:5" ht="12.75">
      <c r="A20">
        <v>35</v>
      </c>
      <c r="B20" s="1" t="e">
        <f t="shared" si="1"/>
        <v>#DIV/0!</v>
      </c>
      <c r="C20" s="1" t="e">
        <f>'Valeur du fumier'!$E$25</f>
        <v>#DIV/0!</v>
      </c>
      <c r="D20" s="30" t="e">
        <f>$C20*'Coût d''épandage ($ par h)'!F$6*'Coût d''épandage ($ par h)'!C$8/(2*B20)</f>
        <v>#DIV/0!</v>
      </c>
      <c r="E20" s="31" t="e">
        <f>60*$C20*'Coût d''épandage ($ par h)'!C$8/(2*B20)</f>
        <v>#DIV/0!</v>
      </c>
    </row>
    <row r="21" spans="1:5" ht="12.75">
      <c r="A21">
        <v>40</v>
      </c>
      <c r="B21" s="1" t="e">
        <f t="shared" si="1"/>
        <v>#DIV/0!</v>
      </c>
      <c r="C21" s="1" t="e">
        <f>'Valeur du fumier'!$E$25</f>
        <v>#DIV/0!</v>
      </c>
      <c r="D21" s="30" t="e">
        <f>$C21*'Coût d''épandage ($ par h)'!F$6*'Coût d''épandage ($ par h)'!C$8/(2*B21)</f>
        <v>#DIV/0!</v>
      </c>
      <c r="E21" s="31" t="e">
        <f>60*$C21*'Coût d''épandage ($ par h)'!C$8/(2*B21)</f>
        <v>#DIV/0!</v>
      </c>
    </row>
    <row r="22" spans="1:5" ht="12.75">
      <c r="A22">
        <v>45</v>
      </c>
      <c r="B22" s="1" t="e">
        <f t="shared" si="1"/>
        <v>#DIV/0!</v>
      </c>
      <c r="C22" s="1" t="e">
        <f>'Valeur du fumier'!$E$25</f>
        <v>#DIV/0!</v>
      </c>
      <c r="D22" s="30" t="e">
        <f>$C22*'Coût d''épandage ($ par h)'!F$6*'Coût d''épandage ($ par h)'!C$8/(2*B22)</f>
        <v>#DIV/0!</v>
      </c>
      <c r="E22" s="31" t="e">
        <f>60*$C22*'Coût d''épandage ($ par h)'!C$8/(2*B22)</f>
        <v>#DIV/0!</v>
      </c>
    </row>
    <row r="23" spans="1:5" ht="12.75">
      <c r="A23">
        <v>50</v>
      </c>
      <c r="B23" s="1" t="e">
        <f t="shared" si="1"/>
        <v>#DIV/0!</v>
      </c>
      <c r="C23" s="1" t="e">
        <f>'Valeur du fumier'!$E$25</f>
        <v>#DIV/0!</v>
      </c>
      <c r="D23" s="30" t="e">
        <f>$C23*'Coût d''épandage ($ par h)'!F$6*'Coût d''épandage ($ par h)'!C$8/(2*B23)</f>
        <v>#DIV/0!</v>
      </c>
      <c r="E23" s="31" t="e">
        <f>60*$C23*'Coût d''épandage ($ par h)'!C$8/(2*B23)</f>
        <v>#DIV/0!</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DAA/MAA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U. Christie</dc:creator>
  <cp:keywords/>
  <dc:description/>
  <cp:lastModifiedBy>AFA/APA</cp:lastModifiedBy>
  <cp:lastPrinted>2009-02-20T19:16:13Z</cp:lastPrinted>
  <dcterms:created xsi:type="dcterms:W3CDTF">2008-11-19T18:53:58Z</dcterms:created>
  <dcterms:modified xsi:type="dcterms:W3CDTF">2016-04-04T13:34:04Z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-37703217</vt:i4>
  </property>
  <property fmtid="{D5CDD505-2E9C-101B-9397-08002B2CF9AE}" pid="3" name="_NewReviewCycle">
    <vt:lpwstr/>
  </property>
  <property fmtid="{D5CDD505-2E9C-101B-9397-08002B2CF9AE}" pid="4" name="_EmailSubject">
    <vt:lpwstr>Manure Haul Cost Calculator</vt:lpwstr>
  </property>
  <property fmtid="{D5CDD505-2E9C-101B-9397-08002B2CF9AE}" pid="5" name="_AuthorEmail">
    <vt:lpwstr>pat.toner@gnb.ca</vt:lpwstr>
  </property>
  <property fmtid="{D5CDD505-2E9C-101B-9397-08002B2CF9AE}" pid="6" name="_AuthorEmailDisplayName">
    <vt:lpwstr>Toner, Pat (DAAF/MAAP)</vt:lpwstr>
  </property>
  <property fmtid="{D5CDD505-2E9C-101B-9397-08002B2CF9AE}" pid="7" name="_PreviousAdHocReviewCycleID">
    <vt:i4>-1111828773</vt:i4>
  </property>
</Properties>
</file>